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40" yWindow="460" windowWidth="31400" windowHeight="16800" activeTab="0"/>
  </bookViews>
  <sheets>
    <sheet name="data_and_report" sheetId="1" r:id="rId1"/>
    <sheet name="Plot_with_confidenc intervals" sheetId="2" r:id="rId2"/>
    <sheet name="Residual plots" sheetId="3" r:id="rId3"/>
    <sheet name="Measured data" sheetId="4" r:id="rId4"/>
    <sheet name="InterDay" sheetId="5" r:id="rId5"/>
    <sheet name="Control of Calibration" sheetId="6" r:id="rId6"/>
    <sheet name="Formulas_and_calculations" sheetId="7" r:id="rId7"/>
  </sheets>
  <externalReferences>
    <externalReference r:id="rId10"/>
  </externalReferences>
  <definedNames>
    <definedName name="_ky1">'Control of Calibration'!$D$3</definedName>
    <definedName name="_ky2">'Control of Calibration'!$E$3</definedName>
    <definedName name="_ky3">'Control of Calibration'!$F$3</definedName>
    <definedName name="_ky4">'Control of Calibration'!$D$5</definedName>
    <definedName name="_ky5">'Control of Calibration'!$E$5</definedName>
    <definedName name="_ky6">'Control of Calibration'!$F$5</definedName>
    <definedName name="_ky7">'Control of Calibration'!$D$7</definedName>
    <definedName name="_ky8">'Control of Calibration'!$E$7</definedName>
    <definedName name="_ky9">'Control of Calibration'!$F$7</definedName>
    <definedName name="alle_x_data">'Formulas_and_calculations'!$A$3:$A$24</definedName>
    <definedName name="alle_y_data">'Formulas_and_calculations'!$B$3:$B$24</definedName>
    <definedName name="alle_y_etsimeret">'Formulas_and_calculations'!$F$3:$F$24</definedName>
    <definedName name="areaynultest">'Formulas_and_calculations'!$B$49:$F$49</definedName>
    <definedName name="dfree">'Formulas_and_calculations'!$B$27</definedName>
    <definedName name="estmaaltx">'Formulas_and_calculations'!$C$54</definedName>
    <definedName name="few">'[1]data_and_report'!$B$18</definedName>
    <definedName name="gval_95">'Formulas_and_calculations'!$C$50</definedName>
    <definedName name="gval_99">'Formulas_and_calculations'!$E$50</definedName>
    <definedName name="highmaaltx95">'Formulas_and_calculations'!$E$54</definedName>
    <definedName name="highmaaltx99">'Formulas_and_calculations'!$G$54</definedName>
    <definedName name="intercept">'data_and_report'!$B$18</definedName>
    <definedName name="kdfree">'Control of Calibration'!$B$90</definedName>
    <definedName name="kGværdi__95">'Control of Calibration'!$B$100</definedName>
    <definedName name="kGværdi__99">'Control of Calibration'!$B$101</definedName>
    <definedName name="kintercept">'Control of Calibration'!$B$14</definedName>
    <definedName name="kMS_reg">'Control of Calibration'!$B$94</definedName>
    <definedName name="kNdata">'Control of Calibration'!$B$9</definedName>
    <definedName name="koncentrationsenhed">'data_and_report'!$C$13</definedName>
    <definedName name="kontrolX1">'Control of Calibration'!$C$3</definedName>
    <definedName name="KontrolX2">'Control of Calibration'!$C$5</definedName>
    <definedName name="KontrolX3">'Control of Calibration'!$C$7</definedName>
    <definedName name="kS_xx">'Control of Calibration'!$B$92</definedName>
    <definedName name="kS_xy">'Control of Calibration'!$B$91</definedName>
    <definedName name="kS_yy">'Control of Calibration'!$B$93</definedName>
    <definedName name="kS_yyestd">'Control of Calibration'!$B$94</definedName>
    <definedName name="kslope">'Control of Calibration'!$B$13</definedName>
    <definedName name="ksqrtsquare">'Control of Calibration'!$D$96</definedName>
    <definedName name="kSsquare">'Control of Calibration'!$B$96</definedName>
    <definedName name="kSumSquares">'Control of Calibration'!$B$95</definedName>
    <definedName name="kSumxsquare">'Control of Calibration'!$B$98</definedName>
    <definedName name="kSumysquare">'Control of Calibration'!$B$99</definedName>
    <definedName name="ksvalue">'Control of Calibration'!$B$97</definedName>
    <definedName name="ktval_95">'Control of Calibration'!$D$90</definedName>
    <definedName name="ktval_99">'Control of Calibration'!$D$91</definedName>
    <definedName name="kxmean">'Control of Calibration'!$A$88</definedName>
    <definedName name="kXstart">'Control of Calibration'!$I$89</definedName>
    <definedName name="kXstop">'Control of Calibration'!$I$90</definedName>
    <definedName name="kymean">'Control of Calibration'!$C$88</definedName>
    <definedName name="level1">'data_and_report'!$C$3</definedName>
    <definedName name="level2">'data_and_report'!$C$5</definedName>
    <definedName name="level3">'data_and_report'!$C$7</definedName>
    <definedName name="level4">'data_and_report'!$C$9</definedName>
    <definedName name="level5">'data_and_report'!$C$11</definedName>
    <definedName name="lowmaaltx95">'Formulas_and_calculations'!$D$54</definedName>
    <definedName name="lowmaaltx99">'Formulas_and_calculations'!$F$54</definedName>
    <definedName name="m_1">'data_and_report'!$D$4</definedName>
    <definedName name="m_10">'data_and_report'!$E$8</definedName>
    <definedName name="m_11">'data_and_report'!$F$8</definedName>
    <definedName name="m_12">'data_and_report'!$G$8</definedName>
    <definedName name="m_13">'data_and_report'!$H$8</definedName>
    <definedName name="m_14">'data_and_report'!$I$8</definedName>
    <definedName name="m_15">'data_and_report'!$D$10</definedName>
    <definedName name="m_16">'data_and_report'!$E$10</definedName>
    <definedName name="m_17">'data_and_report'!$D$12</definedName>
    <definedName name="m_18">'data_and_report'!$E$12</definedName>
    <definedName name="m_19">'data_and_report'!$F$12</definedName>
    <definedName name="m_2">'data_and_report'!$E$4</definedName>
    <definedName name="m_20">'data_and_report'!$G$12</definedName>
    <definedName name="m_21">'data_and_report'!$H$12</definedName>
    <definedName name="m_22">'data_and_report'!$I$12</definedName>
    <definedName name="m_3">'data_and_report'!$F$4</definedName>
    <definedName name="m_4">'data_and_report'!$G$4</definedName>
    <definedName name="m_5">'data_and_report'!$H$4</definedName>
    <definedName name="m_6">'data_and_report'!$I$4</definedName>
    <definedName name="m_7">'data_and_report'!$D$6</definedName>
    <definedName name="m_8">'data_and_report'!$E$6</definedName>
    <definedName name="m_9">'data_and_report'!$D$8</definedName>
    <definedName name="maalt_Y">'Measured data'!$C$2</definedName>
    <definedName name="meanxy">'Formulas_and_calculations'!$C$25</definedName>
    <definedName name="MS_reg">'Formulas_and_calculations'!$B$31</definedName>
    <definedName name="Ndata">'Formulas_and_calculations'!$A$26</definedName>
    <definedName name="overskrift">'data_and_report'!$C$1</definedName>
    <definedName name="Replikater_maalt">'Formulas_and_calculations'!$A$56</definedName>
    <definedName name="repmaal">'Formulas_and_calculations'!$A$56</definedName>
    <definedName name="Residualer">'Formulas_and_calculations'!$H$3:$H$24</definedName>
    <definedName name="responsenhed">'data_and_report'!$D$13</definedName>
    <definedName name="responsfaktor">'Control of Calibration'!$G$13</definedName>
    <definedName name="S_xx">'Formulas_and_calculations'!$B$29</definedName>
    <definedName name="S_xy">'Formulas_and_calculations'!$B$28</definedName>
    <definedName name="S_yy">'Formulas_and_calculations'!$B$30</definedName>
    <definedName name="S_yyestd">'Formulas_and_calculations'!$B$31</definedName>
    <definedName name="slope">'Control of Calibration'!$I$16</definedName>
    <definedName name="sqrtsquare">'Formulas_and_calculations'!$D$33</definedName>
    <definedName name="Ssquare">'Formulas_and_calculations'!$B$33</definedName>
    <definedName name="SumSquares">'Formulas_and_calculations'!$B$32</definedName>
    <definedName name="Sumxsquare">'Formulas_and_calculations'!$B$35</definedName>
    <definedName name="Sumysquare">'Formulas_and_calculations'!$B$36</definedName>
    <definedName name="svalue">'Formulas_and_calculations'!$B$34</definedName>
    <definedName name="tval_95">'Formulas_and_calculations'!$D$27</definedName>
    <definedName name="tval_99">'Formulas_and_calculations'!$D$28</definedName>
    <definedName name="_xlnm.Print_Area" localSheetId="0">'data_and_report'!$A$1:$N$83</definedName>
    <definedName name="wsefwe">'Control of Calibration'!$B$91</definedName>
    <definedName name="X_detail">'Formulas_and_calculations'!$H$29:$H$79</definedName>
    <definedName name="xmean">'Formulas_and_calculations'!$A$25</definedName>
    <definedName name="Xstart">'Formulas_and_calculations'!$I$26</definedName>
    <definedName name="Xstop">'Formulas_and_calculations'!$I$27</definedName>
    <definedName name="y_1">'data_and_report'!$D$3</definedName>
    <definedName name="y_10">'data_and_report'!$E$7</definedName>
    <definedName name="y_11">'data_and_report'!$F$7</definedName>
    <definedName name="y_12">'data_and_report'!$G$7</definedName>
    <definedName name="y_13">'data_and_report'!$H$7</definedName>
    <definedName name="y_14">'data_and_report'!$I$7</definedName>
    <definedName name="y_15">'data_and_report'!$D$9</definedName>
    <definedName name="y_16">'data_and_report'!$E$9</definedName>
    <definedName name="y_17">'data_and_report'!$D$11</definedName>
    <definedName name="y_18">'data_and_report'!$E$11</definedName>
    <definedName name="y_19">'data_and_report'!$F$11</definedName>
    <definedName name="y_2">'data_and_report'!$E$3</definedName>
    <definedName name="y_20">'data_and_report'!$G$11</definedName>
    <definedName name="y_21">'data_and_report'!$H$11</definedName>
    <definedName name="y_22">'data_and_report'!$I$11</definedName>
    <definedName name="y_3">'data_and_report'!$F$3</definedName>
    <definedName name="y_4">'data_and_report'!$G$3</definedName>
    <definedName name="y_5">'data_and_report'!$H$3</definedName>
    <definedName name="y_6">'data_and_report'!$I$3</definedName>
    <definedName name="y_7">'data_and_report'!$D$5</definedName>
    <definedName name="y_8">'data_and_report'!$E$5</definedName>
    <definedName name="y_9">'data_and_report'!$D$7</definedName>
    <definedName name="Y_L">'Formulas_and_calculations'!$I$29</definedName>
    <definedName name="Y_U">'Formulas_and_calculations'!$J$29</definedName>
    <definedName name="yestmean">'Formulas_and_calculations'!$F$25</definedName>
    <definedName name="ymean">'Formulas_and_calculations'!$B$25</definedName>
  </definedNames>
  <calcPr fullCalcOnLoad="1"/>
</workbook>
</file>

<file path=xl/comments1.xml><?xml version="1.0" encoding="utf-8"?>
<comments xmlns="http://schemas.openxmlformats.org/spreadsheetml/2006/main">
  <authors>
    <author>CC</author>
  </authors>
  <commentList>
    <comment ref="I4" authorId="0">
      <text>
        <r>
          <rPr>
            <b/>
            <sz val="8"/>
            <rFont val="Tahoma"/>
            <family val="2"/>
          </rPr>
          <t>CC:</t>
        </r>
        <r>
          <rPr>
            <sz val="8"/>
            <rFont val="Tahoma"/>
            <family val="2"/>
          </rPr>
          <t xml:space="preserve">
d</t>
        </r>
      </text>
    </comment>
    <comment ref="H12" authorId="0">
      <text>
        <r>
          <rPr>
            <b/>
            <sz val="8"/>
            <rFont val="Tahoma"/>
            <family val="2"/>
          </rPr>
          <t>CC:</t>
        </r>
        <r>
          <rPr>
            <sz val="8"/>
            <rFont val="Tahoma"/>
            <family val="2"/>
          </rPr>
          <t xml:space="preserve">
d</t>
        </r>
      </text>
    </comment>
    <comment ref="I12" authorId="0">
      <text>
        <r>
          <rPr>
            <b/>
            <sz val="8"/>
            <rFont val="Tahoma"/>
            <family val="2"/>
          </rPr>
          <t>CC:</t>
        </r>
        <r>
          <rPr>
            <sz val="8"/>
            <rFont val="Tahoma"/>
            <family val="2"/>
          </rPr>
          <t xml:space="preserve">
dm_22</t>
        </r>
      </text>
    </comment>
  </commentList>
</comments>
</file>

<file path=xl/sharedStrings.xml><?xml version="1.0" encoding="utf-8"?>
<sst xmlns="http://schemas.openxmlformats.org/spreadsheetml/2006/main" count="543" uniqueCount="161">
  <si>
    <t>Data</t>
  </si>
  <si>
    <t>Koncentration</t>
  </si>
  <si>
    <t>Replikater</t>
  </si>
  <si>
    <t>R^2</t>
  </si>
  <si>
    <t>R</t>
  </si>
  <si>
    <t>F-test</t>
  </si>
  <si>
    <t>Midlertidige data</t>
  </si>
  <si>
    <t>X</t>
  </si>
  <si>
    <t>Y</t>
  </si>
  <si>
    <t>X*Y</t>
  </si>
  <si>
    <t>X-&lt;X&gt;</t>
  </si>
  <si>
    <t>Y-&lt;Y&gt;</t>
  </si>
  <si>
    <t>S_xy =</t>
  </si>
  <si>
    <t>S_xx =</t>
  </si>
  <si>
    <t>(X-&lt;X&gt;)^2</t>
  </si>
  <si>
    <t>(Y-&lt;Y&gt;)^2</t>
  </si>
  <si>
    <t>S_yy =</t>
  </si>
  <si>
    <t>Residualer</t>
  </si>
  <si>
    <t>Y estd</t>
  </si>
  <si>
    <t>S_yyestd =</t>
  </si>
  <si>
    <t>SumSquares =</t>
  </si>
  <si>
    <t>Res^2</t>
  </si>
  <si>
    <t>Ssquare =</t>
  </si>
  <si>
    <t>Sumxsquare</t>
  </si>
  <si>
    <t>Sumysquare</t>
  </si>
  <si>
    <t>= MS_reg</t>
  </si>
  <si>
    <t>dfree =</t>
  </si>
  <si>
    <t>tval_95</t>
  </si>
  <si>
    <t>X_detail</t>
  </si>
  <si>
    <t>Xstart =</t>
  </si>
  <si>
    <t>Xstop =</t>
  </si>
  <si>
    <t>sqrtsquare =</t>
  </si>
  <si>
    <t>Nedre 95% konfidens interval</t>
  </si>
  <si>
    <t>Øvre 95% konfidens interval</t>
  </si>
  <si>
    <t>Testdata</t>
  </si>
  <si>
    <t>X^2</t>
  </si>
  <si>
    <t>Y^2</t>
  </si>
  <si>
    <t>Ye-&lt;Y&gt;</t>
  </si>
  <si>
    <t>(Ye-&lt;Y&gt;)^2</t>
  </si>
  <si>
    <t>tval_99</t>
  </si>
  <si>
    <t>Nedre 99% konfidens interval</t>
  </si>
  <si>
    <t>Øvre 99% konfidens interval</t>
  </si>
  <si>
    <t>Areal</t>
  </si>
  <si>
    <t>Måling nr.</t>
  </si>
  <si>
    <t>SD</t>
  </si>
  <si>
    <t>RSD (%)</t>
  </si>
  <si>
    <t>Tekster til legend i plot</t>
  </si>
  <si>
    <t>Målte data</t>
  </si>
  <si>
    <t>Lineær regression</t>
  </si>
  <si>
    <t>95 % konf. Interval</t>
  </si>
  <si>
    <t>99 % konf interval</t>
  </si>
  <si>
    <t>Est. Y</t>
  </si>
  <si>
    <t>Est. X</t>
  </si>
  <si>
    <t>LOQ =</t>
  </si>
  <si>
    <t>LOD =</t>
  </si>
  <si>
    <t>målt Y</t>
  </si>
  <si>
    <t>*</t>
  </si>
  <si>
    <t>Vægtede residualer</t>
  </si>
  <si>
    <t>ResV</t>
  </si>
  <si>
    <t>(Now using 3.2.5 in Drape&amp;Smith for calculating confidence limits)</t>
  </si>
  <si>
    <t>svalue</t>
  </si>
  <si>
    <t>Gværdi (95%)</t>
  </si>
  <si>
    <t>Gværdi (99%)</t>
  </si>
  <si>
    <t>Repl.</t>
  </si>
  <si>
    <t>kS_xy =</t>
  </si>
  <si>
    <t>kS_xx =</t>
  </si>
  <si>
    <t>kS_yy =</t>
  </si>
  <si>
    <t>kS_yyestd =</t>
  </si>
  <si>
    <t>kSumSquares =</t>
  </si>
  <si>
    <t>kSsquare =</t>
  </si>
  <si>
    <t>ksvalue</t>
  </si>
  <si>
    <t>kSumxsquare</t>
  </si>
  <si>
    <t>kSumysquare</t>
  </si>
  <si>
    <t>kGværdi (95%)</t>
  </si>
  <si>
    <t>kGværdi (99%)</t>
  </si>
  <si>
    <t>ksqrtsquare =</t>
  </si>
  <si>
    <t>kdfree =</t>
  </si>
  <si>
    <t>Kontrol af Kalibrering</t>
  </si>
  <si>
    <t>Meandata</t>
  </si>
  <si>
    <t>&lt;X&gt;</t>
  </si>
  <si>
    <t>&lt;Y&gt;</t>
  </si>
  <si>
    <t>Std_exp</t>
  </si>
  <si>
    <t>ktval_95</t>
  </si>
  <si>
    <t>ktval_99</t>
  </si>
  <si>
    <t>= kMS_reg</t>
  </si>
  <si>
    <t>kXstart =</t>
  </si>
  <si>
    <t>kXstop =</t>
  </si>
  <si>
    <t>Bruge (1=ja, 0=nej)</t>
  </si>
  <si>
    <t>Responsfaktor=</t>
  </si>
  <si>
    <t>Slope to use =</t>
  </si>
  <si>
    <t>Identification</t>
  </si>
  <si>
    <t>Replicates</t>
  </si>
  <si>
    <t>Concentration</t>
  </si>
  <si>
    <t>Response</t>
  </si>
  <si>
    <t>Repeatability</t>
  </si>
  <si>
    <t>Mean</t>
  </si>
  <si>
    <t>Measurement no.</t>
  </si>
  <si>
    <t>Level 1</t>
  </si>
  <si>
    <t>Level 2</t>
  </si>
  <si>
    <t>Level 3</t>
  </si>
  <si>
    <t>Level 4</t>
  </si>
  <si>
    <t>Leve l5</t>
  </si>
  <si>
    <t>Number of Meas.</t>
  </si>
  <si>
    <t>Confidense Intervals (+/-)</t>
  </si>
  <si>
    <t>Standard dev.</t>
  </si>
  <si>
    <t>Slope</t>
  </si>
  <si>
    <t>Significance of regression</t>
  </si>
  <si>
    <t>Based on:</t>
  </si>
  <si>
    <t>Lowest standard</t>
  </si>
  <si>
    <t>Propability that slope is 0</t>
  </si>
  <si>
    <t>Estimated Y-value for X=0</t>
  </si>
  <si>
    <t>Estimated X-value for Y=0</t>
  </si>
  <si>
    <t>Conc. Unit</t>
  </si>
  <si>
    <t xml:space="preserve">Criterium: Signal = </t>
  </si>
  <si>
    <t>*Noise</t>
  </si>
  <si>
    <t>Concentrationweighed residual plots</t>
  </si>
  <si>
    <t>Unweighed residual plots</t>
  </si>
  <si>
    <t>Identification =</t>
  </si>
  <si>
    <t>Control1</t>
  </si>
  <si>
    <t>Control2</t>
  </si>
  <si>
    <t>Control3</t>
  </si>
  <si>
    <t>Number of measurements</t>
  </si>
  <si>
    <t>Intercept</t>
  </si>
  <si>
    <t>Konfidence intervals (+/-)</t>
  </si>
  <si>
    <t>Probability that slope is 0</t>
  </si>
  <si>
    <t>Lovest standard</t>
  </si>
  <si>
    <t>Control of LOD and LOQ</t>
  </si>
  <si>
    <t>Data point</t>
  </si>
  <si>
    <t>95 % conf. Interval</t>
  </si>
  <si>
    <t>99 % conf interval</t>
  </si>
  <si>
    <t>Intermdediate Reproducibilitry,  Inter Day</t>
  </si>
  <si>
    <t>We assume that the standard deviations for each Control sample is the samer Iter Day</t>
  </si>
  <si>
    <t>Control 1</t>
  </si>
  <si>
    <t>Middelværdi</t>
  </si>
  <si>
    <t>replikater</t>
  </si>
  <si>
    <t>Sd</t>
  </si>
  <si>
    <t>N</t>
  </si>
  <si>
    <t>Is Control 1 and Control 2 significantly different ?</t>
  </si>
  <si>
    <t>Dif 95 %</t>
  </si>
  <si>
    <t>F-crit 99 %</t>
  </si>
  <si>
    <t>Dif 99 %</t>
  </si>
  <si>
    <t>DF numer</t>
  </si>
  <si>
    <t>Control 2</t>
  </si>
  <si>
    <t>Control 3</t>
  </si>
  <si>
    <t xml:space="preserve">t value </t>
  </si>
  <si>
    <t>t-crit 95 %</t>
  </si>
  <si>
    <t>s-poled</t>
  </si>
  <si>
    <t>Using this:</t>
  </si>
  <si>
    <t>Respons2</t>
  </si>
  <si>
    <t>Slope =</t>
  </si>
  <si>
    <t>Intercept =</t>
  </si>
  <si>
    <t>Resultat</t>
  </si>
  <si>
    <t>Std slope =</t>
  </si>
  <si>
    <t>Std intercept =</t>
  </si>
  <si>
    <t>Std regression =</t>
  </si>
  <si>
    <t>R^2 =</t>
  </si>
  <si>
    <t>R =</t>
  </si>
  <si>
    <t>F value for reg.</t>
  </si>
  <si>
    <t>Text for legend in plot</t>
  </si>
  <si>
    <t>Measured Data</t>
  </si>
  <si>
    <t>Linear regression</t>
  </si>
</sst>
</file>

<file path=xl/styles.xml><?xml version="1.0" encoding="utf-8"?>
<styleSheet xmlns="http://schemas.openxmlformats.org/spreadsheetml/2006/main">
  <numFmts count="5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DKK&quot;;\-#,##0\ &quot;DKK&quot;"/>
    <numFmt numFmtId="165" formatCode="#,##0\ &quot;DKK&quot;;[Red]\-#,##0\ &quot;DKK&quot;"/>
    <numFmt numFmtId="166" formatCode="#,##0.00\ &quot;DKK&quot;;\-#,##0.00\ &quot;DKK&quot;"/>
    <numFmt numFmtId="167" formatCode="#,##0.00\ &quot;DKK&quot;;[Red]\-#,##0.00\ &quot;DKK&quot;"/>
    <numFmt numFmtId="168" formatCode="_-* #,##0\ &quot;DKK&quot;_-;\-* #,##0\ &quot;DKK&quot;_-;_-* &quot;-&quot;\ &quot;DKK&quot;_-;_-@_-"/>
    <numFmt numFmtId="169" formatCode="_-* #,##0\ _D_K_K_-;\-* #,##0\ _D_K_K_-;_-* &quot;-&quot;\ _D_K_K_-;_-@_-"/>
    <numFmt numFmtId="170" formatCode="_-* #,##0.00\ &quot;DKK&quot;_-;\-* #,##0.00\ &quot;DKK&quot;_-;_-* &quot;-&quot;??\ &quot;DKK&quot;_-;_-@_-"/>
    <numFmt numFmtId="171" formatCode="_-* #,##0.00\ _D_K_K_-;\-* #,##0.00\ _D_K_K_-;_-* &quot;-&quot;??\ _D_K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.&quot;\ #,##0;&quot;kr.&quot;\ \-#,##0"/>
    <numFmt numFmtId="181" formatCode="&quot;kr.&quot;\ #,##0;[Red]&quot;kr.&quot;\ \-#,##0"/>
    <numFmt numFmtId="182" formatCode="&quot;kr.&quot;\ #,##0.00;&quot;kr.&quot;\ \-#,##0.00"/>
    <numFmt numFmtId="183" formatCode="&quot;kr.&quot;\ #,##0.00;[Red]&quot;kr.&quot;\ \-#,##0.00"/>
    <numFmt numFmtId="184" formatCode="_ &quot;kr.&quot;\ * #,##0_ ;_ &quot;kr.&quot;\ * \-#,##0_ ;_ &quot;kr.&quot;\ * &quot;-&quot;_ ;_ @_ "/>
    <numFmt numFmtId="185" formatCode="_ * #,##0_ ;_ * \-#,##0_ ;_ * &quot;-&quot;_ ;_ @_ "/>
    <numFmt numFmtId="186" formatCode="_ &quot;kr.&quot;\ * #,##0.00_ ;_ &quot;kr.&quot;\ * \-#,##0.00_ ;_ &quot;kr.&quot;\ * &quot;-&quot;??_ ;_ @_ "/>
    <numFmt numFmtId="187" formatCode="_ * #,##0.00_ ;_ * \-#,##0.00_ ;_ * &quot;-&quot;??_ ;_ @_ 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&quot;kr&quot;\ * #,##0.00_ ;_ &quot;kr&quot;\ * \-#,##0.00_ ;_ &quot;kr&quot;\ * &quot;-&quot;??_ ;_ @_ 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* #,##0_-;\-* #,##0_-;_-* &quot;-&quot;_-;_-@_-"/>
    <numFmt numFmtId="200" formatCode="_-&quot;£&quot;* #,##0.00_-;\-&quot;£&quot;* #,##0.00_-;_-&quot;£&quot;* &quot;-&quot;??_-;_-@_-"/>
    <numFmt numFmtId="201" formatCode="_-* #,##0.00_-;\-* #,##0.00_-;_-* &quot;-&quot;??_-;_-@_-"/>
    <numFmt numFmtId="202" formatCode="&quot;kr&quot;\ #,##0_);\(&quot;kr&quot;\ #,##0\)"/>
    <numFmt numFmtId="203" formatCode="&quot;kr&quot;\ #,##0_);[Red]\(&quot;kr&quot;\ #,##0\)"/>
    <numFmt numFmtId="204" formatCode="&quot;kr&quot;\ #,##0.00_);\(&quot;kr&quot;\ #,##0.00\)"/>
    <numFmt numFmtId="205" formatCode="&quot;kr&quot;\ #,##0.00_);[Red]\(&quot;kr&quot;\ #,##0.00\)"/>
    <numFmt numFmtId="206" formatCode="_(&quot;kr&quot;\ * #,##0_);_(&quot;kr&quot;\ * \(#,##0\);_(&quot;kr&quot;\ * &quot;-&quot;_);_(@_)"/>
    <numFmt numFmtId="207" formatCode="_(* #,##0_);_(* \(#,##0\);_(* &quot;-&quot;_);_(@_)"/>
    <numFmt numFmtId="208" formatCode="_(&quot;kr&quot;\ * #,##0.00_);_(&quot;kr&quot;\ * \(#,##0.00\);_(&quot;kr&quot;\ * &quot;-&quot;??_);_(@_)"/>
    <numFmt numFmtId="209" formatCode="_(* #,##0.00_);_(* \(#,##0.00\);_(* &quot;-&quot;??_);_(@_)"/>
    <numFmt numFmtId="210" formatCode="0.0000"/>
    <numFmt numFmtId="211" formatCode="0.0"/>
    <numFmt numFmtId="212" formatCode="0.000000E+00"/>
    <numFmt numFmtId="213" formatCode="0.000"/>
    <numFmt numFmtId="214" formatCode="0.0000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2"/>
      <color indexed="8"/>
      <name val="Calibri"/>
      <family val="2"/>
    </font>
    <font>
      <sz val="12"/>
      <name val="Calibri"/>
      <family val="0"/>
    </font>
    <font>
      <sz val="19.25"/>
      <color indexed="8"/>
      <name val="Arial"/>
      <family val="0"/>
    </font>
    <font>
      <sz val="20.5"/>
      <color indexed="8"/>
      <name val="Arial"/>
      <family val="0"/>
    </font>
    <font>
      <b/>
      <sz val="20.5"/>
      <color indexed="8"/>
      <name val="Symbol"/>
      <family val="0"/>
    </font>
    <font>
      <b/>
      <sz val="20.5"/>
      <color indexed="8"/>
      <name val="Arial"/>
      <family val="0"/>
    </font>
    <font>
      <b/>
      <sz val="23.25"/>
      <color indexed="8"/>
      <name val="Arial"/>
      <family val="0"/>
    </font>
    <font>
      <sz val="13.75"/>
      <color indexed="8"/>
      <name val="Arial"/>
      <family val="0"/>
    </font>
    <font>
      <sz val="15.75"/>
      <color indexed="8"/>
      <name val="Arial"/>
      <family val="0"/>
    </font>
    <font>
      <b/>
      <sz val="15.75"/>
      <color indexed="8"/>
      <name val="Arial"/>
      <family val="0"/>
    </font>
    <font>
      <b/>
      <sz val="12.25"/>
      <color indexed="8"/>
      <name val="Arial"/>
      <family val="0"/>
    </font>
    <font>
      <sz val="7.1"/>
      <color indexed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11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1" fillId="21" borderId="2" applyNumberFormat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2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5" fillId="30" borderId="3" applyNumberFormat="0" applyAlignment="0" applyProtection="0"/>
    <xf numFmtId="0" fontId="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58" fillId="21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0" applyNumberFormat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left"/>
    </xf>
    <xf numFmtId="210" fontId="0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11" fontId="0" fillId="0" borderId="17" xfId="0" applyNumberFormat="1" applyFont="1" applyBorder="1" applyAlignment="1" applyProtection="1">
      <alignment horizontal="center"/>
      <protection locked="0"/>
    </xf>
    <xf numFmtId="11" fontId="6" fillId="0" borderId="17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1" fontId="0" fillId="0" borderId="19" xfId="0" applyNumberFormat="1" applyFont="1" applyBorder="1" applyAlignment="1" applyProtection="1">
      <alignment horizontal="center"/>
      <protection locked="0"/>
    </xf>
    <xf numFmtId="11" fontId="0" fillId="0" borderId="2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11" fontId="0" fillId="0" borderId="19" xfId="0" applyNumberFormat="1" applyFont="1" applyBorder="1" applyAlignment="1">
      <alignment/>
    </xf>
    <xf numFmtId="11" fontId="0" fillId="0" borderId="24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23" xfId="0" applyFont="1" applyBorder="1" applyAlignment="1">
      <alignment horizontal="right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>
      <alignment horizontal="center"/>
    </xf>
    <xf numFmtId="0" fontId="66" fillId="34" borderId="0" xfId="0" applyFont="1" applyFill="1" applyAlignment="1">
      <alignment horizontal="center"/>
    </xf>
    <xf numFmtId="0" fontId="0" fillId="0" borderId="23" xfId="0" applyBorder="1" applyAlignment="1">
      <alignment/>
    </xf>
    <xf numFmtId="0" fontId="67" fillId="0" borderId="25" xfId="0" applyFont="1" applyBorder="1" applyAlignment="1">
      <alignment/>
    </xf>
    <xf numFmtId="0" fontId="67" fillId="0" borderId="26" xfId="0" applyFont="1" applyBorder="1" applyAlignment="1">
      <alignment/>
    </xf>
    <xf numFmtId="0" fontId="67" fillId="0" borderId="27" xfId="0" applyFont="1" applyBorder="1" applyAlignment="1">
      <alignment/>
    </xf>
    <xf numFmtId="0" fontId="67" fillId="0" borderId="28" xfId="0" applyFont="1" applyBorder="1" applyAlignment="1">
      <alignment/>
    </xf>
    <xf numFmtId="0" fontId="0" fillId="0" borderId="14" xfId="0" applyBorder="1" applyAlignment="1" applyProtection="1">
      <alignment horizontal="center"/>
      <protection hidden="1"/>
    </xf>
    <xf numFmtId="0" fontId="67" fillId="0" borderId="29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67" fillId="0" borderId="30" xfId="0" applyFont="1" applyBorder="1" applyAlignment="1">
      <alignment/>
    </xf>
    <xf numFmtId="2" fontId="67" fillId="0" borderId="30" xfId="0" applyNumberFormat="1" applyFont="1" applyBorder="1" applyAlignment="1">
      <alignment horizontal="center"/>
    </xf>
    <xf numFmtId="2" fontId="67" fillId="0" borderId="30" xfId="0" applyNumberFormat="1" applyFont="1" applyBorder="1" applyAlignment="1">
      <alignment/>
    </xf>
    <xf numFmtId="0" fontId="0" fillId="0" borderId="30" xfId="0" applyBorder="1" applyAlignment="1">
      <alignment/>
    </xf>
    <xf numFmtId="0" fontId="67" fillId="0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11" fontId="0" fillId="0" borderId="10" xfId="0" applyNumberFormat="1" applyFont="1" applyBorder="1" applyAlignment="1" applyProtection="1">
      <alignment horizontal="center"/>
      <protection locked="0"/>
    </xf>
    <xf numFmtId="11" fontId="0" fillId="0" borderId="23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57" fillId="0" borderId="10" xfId="51" applyBorder="1">
      <alignment/>
      <protection/>
    </xf>
    <xf numFmtId="212" fontId="57" fillId="0" borderId="17" xfId="51" applyNumberFormat="1" applyBorder="1">
      <alignment/>
      <protection/>
    </xf>
    <xf numFmtId="0" fontId="57" fillId="0" borderId="0" xfId="51">
      <alignment/>
      <protection/>
    </xf>
    <xf numFmtId="0" fontId="12" fillId="0" borderId="17" xfId="51" applyFont="1" applyFill="1" applyBorder="1" applyAlignment="1">
      <alignment horizontal="center" vertical="center" wrapText="1"/>
      <protection/>
    </xf>
    <xf numFmtId="210" fontId="57" fillId="0" borderId="17" xfId="51" applyNumberFormat="1" applyBorder="1">
      <alignment/>
      <protection/>
    </xf>
    <xf numFmtId="0" fontId="57" fillId="0" borderId="10" xfId="51" applyFill="1" applyBorder="1">
      <alignment/>
      <protection/>
    </xf>
    <xf numFmtId="213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center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 data</a:t>
            </a:r>
          </a:p>
        </c:rich>
      </c:tx>
      <c:layout>
        <c:manualLayout>
          <c:xMode val="factor"/>
          <c:yMode val="factor"/>
          <c:x val="-0.006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985"/>
          <c:w val="0.91025"/>
          <c:h val="0.8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Formulas_and_calculations!$A$41</c:f>
              <c:strCache>
                <c:ptCount val="1"/>
                <c:pt idx="0">
                  <c:v>Measured 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Formulas_and_calculations!$A$3:$A$24</c:f>
              <c:numCache>
                <c:ptCount val="22"/>
                <c:pt idx="0">
                  <c:v>2.5E-07</c:v>
                </c:pt>
                <c:pt idx="1">
                  <c:v>2.5E-07</c:v>
                </c:pt>
                <c:pt idx="2">
                  <c:v>2.5E-07</c:v>
                </c:pt>
                <c:pt idx="3">
                  <c:v>2.5E-07</c:v>
                </c:pt>
                <c:pt idx="4">
                  <c:v>2.5E-07</c:v>
                </c:pt>
                <c:pt idx="5">
                  <c:v>2.5E-07</c:v>
                </c:pt>
                <c:pt idx="6">
                  <c:v>1.5E-06</c:v>
                </c:pt>
                <c:pt idx="7">
                  <c:v>1.5E-06</c:v>
                </c:pt>
                <c:pt idx="8">
                  <c:v>2.5E-06</c:v>
                </c:pt>
                <c:pt idx="9">
                  <c:v>2.5E-06</c:v>
                </c:pt>
                <c:pt idx="10">
                  <c:v>2.5E-06</c:v>
                </c:pt>
                <c:pt idx="11">
                  <c:v>2.5E-06</c:v>
                </c:pt>
                <c:pt idx="12">
                  <c:v>2.5E-06</c:v>
                </c:pt>
                <c:pt idx="13">
                  <c:v>2.5E-06</c:v>
                </c:pt>
                <c:pt idx="14">
                  <c:v>3.75E-06</c:v>
                </c:pt>
                <c:pt idx="15">
                  <c:v>3.75E-06</c:v>
                </c:pt>
                <c:pt idx="16">
                  <c:v>5E-06</c:v>
                </c:pt>
                <c:pt idx="17">
                  <c:v>5E-06</c:v>
                </c:pt>
                <c:pt idx="18">
                  <c:v>5E-06</c:v>
                </c:pt>
                <c:pt idx="19">
                  <c:v>5E-06</c:v>
                </c:pt>
                <c:pt idx="20">
                  <c:v>5E-06</c:v>
                </c:pt>
                <c:pt idx="21">
                  <c:v>5E-06</c:v>
                </c:pt>
              </c:numCache>
            </c:numRef>
          </c:xVal>
          <c:yVal>
            <c:numRef>
              <c:f>Formulas_and_calculations!$B$3:$B$24</c:f>
              <c:numCache>
                <c:ptCount val="22"/>
                <c:pt idx="0">
                  <c:v>15045.67</c:v>
                </c:pt>
                <c:pt idx="1">
                  <c:v>15436.67</c:v>
                </c:pt>
                <c:pt idx="2">
                  <c:v>14867.67</c:v>
                </c:pt>
                <c:pt idx="3">
                  <c:v>15524.67</c:v>
                </c:pt>
                <c:pt idx="4">
                  <c:v>15143.67</c:v>
                </c:pt>
                <c:pt idx="5">
                  <c:v>14858.67</c:v>
                </c:pt>
                <c:pt idx="6">
                  <c:v>94561.67</c:v>
                </c:pt>
                <c:pt idx="7">
                  <c:v>96231.67</c:v>
                </c:pt>
                <c:pt idx="8">
                  <c:v>154831.7</c:v>
                </c:pt>
                <c:pt idx="9">
                  <c:v>158151.7</c:v>
                </c:pt>
                <c:pt idx="10">
                  <c:v>150711.7</c:v>
                </c:pt>
                <c:pt idx="11">
                  <c:v>148101.7</c:v>
                </c:pt>
                <c:pt idx="12">
                  <c:v>155031.7</c:v>
                </c:pt>
                <c:pt idx="13">
                  <c:v>179401.7</c:v>
                </c:pt>
                <c:pt idx="14">
                  <c:v>234651.7</c:v>
                </c:pt>
                <c:pt idx="15">
                  <c:v>230971.7</c:v>
                </c:pt>
                <c:pt idx="16">
                  <c:v>327371.7</c:v>
                </c:pt>
                <c:pt idx="17">
                  <c:v>303621.7</c:v>
                </c:pt>
                <c:pt idx="18">
                  <c:v>301951.7</c:v>
                </c:pt>
                <c:pt idx="19">
                  <c:v>314321.7</c:v>
                </c:pt>
                <c:pt idx="20">
                  <c:v>333461.7</c:v>
                </c:pt>
                <c:pt idx="21">
                  <c:v>335451.7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Formulas_and_calculations!$A$42</c:f>
              <c:strCache>
                <c:ptCount val="1"/>
                <c:pt idx="0">
                  <c:v>Linear regression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Formulas_and_calculations!$A$3:$A$24</c:f>
              <c:numCache>
                <c:ptCount val="22"/>
                <c:pt idx="0">
                  <c:v>2.5E-07</c:v>
                </c:pt>
                <c:pt idx="1">
                  <c:v>2.5E-07</c:v>
                </c:pt>
                <c:pt idx="2">
                  <c:v>2.5E-07</c:v>
                </c:pt>
                <c:pt idx="3">
                  <c:v>2.5E-07</c:v>
                </c:pt>
                <c:pt idx="4">
                  <c:v>2.5E-07</c:v>
                </c:pt>
                <c:pt idx="5">
                  <c:v>2.5E-07</c:v>
                </c:pt>
                <c:pt idx="6">
                  <c:v>1.5E-06</c:v>
                </c:pt>
                <c:pt idx="7">
                  <c:v>1.5E-06</c:v>
                </c:pt>
                <c:pt idx="8">
                  <c:v>2.5E-06</c:v>
                </c:pt>
                <c:pt idx="9">
                  <c:v>2.5E-06</c:v>
                </c:pt>
                <c:pt idx="10">
                  <c:v>2.5E-06</c:v>
                </c:pt>
                <c:pt idx="11">
                  <c:v>2.5E-06</c:v>
                </c:pt>
                <c:pt idx="12">
                  <c:v>2.5E-06</c:v>
                </c:pt>
                <c:pt idx="13">
                  <c:v>2.5E-06</c:v>
                </c:pt>
                <c:pt idx="14">
                  <c:v>3.75E-06</c:v>
                </c:pt>
                <c:pt idx="15">
                  <c:v>3.75E-06</c:v>
                </c:pt>
                <c:pt idx="16">
                  <c:v>5E-06</c:v>
                </c:pt>
                <c:pt idx="17">
                  <c:v>5E-06</c:v>
                </c:pt>
                <c:pt idx="18">
                  <c:v>5E-06</c:v>
                </c:pt>
                <c:pt idx="19">
                  <c:v>5E-06</c:v>
                </c:pt>
                <c:pt idx="20">
                  <c:v>5E-06</c:v>
                </c:pt>
                <c:pt idx="21">
                  <c:v>5E-06</c:v>
                </c:pt>
              </c:numCache>
            </c:numRef>
          </c:xVal>
          <c:yVal>
            <c:numRef>
              <c:f>Formulas_and_calculations!$F$3:$F$24</c:f>
              <c:numCache>
                <c:ptCount val="22"/>
                <c:pt idx="0">
                  <c:v>14622.719711298481</c:v>
                </c:pt>
                <c:pt idx="1">
                  <c:v>14622.719711298481</c:v>
                </c:pt>
                <c:pt idx="2">
                  <c:v>14622.719711298481</c:v>
                </c:pt>
                <c:pt idx="3">
                  <c:v>14622.719711298481</c:v>
                </c:pt>
                <c:pt idx="4">
                  <c:v>14622.719711298481</c:v>
                </c:pt>
                <c:pt idx="5">
                  <c:v>14622.719711298481</c:v>
                </c:pt>
                <c:pt idx="6">
                  <c:v>94428.64996254689</c:v>
                </c:pt>
                <c:pt idx="7">
                  <c:v>94428.64996254689</c:v>
                </c:pt>
                <c:pt idx="8">
                  <c:v>158273.39416354563</c:v>
                </c:pt>
                <c:pt idx="9">
                  <c:v>158273.39416354563</c:v>
                </c:pt>
                <c:pt idx="10">
                  <c:v>158273.39416354563</c:v>
                </c:pt>
                <c:pt idx="11">
                  <c:v>158273.39416354563</c:v>
                </c:pt>
                <c:pt idx="12">
                  <c:v>158273.39416354563</c:v>
                </c:pt>
                <c:pt idx="13">
                  <c:v>158273.39416354563</c:v>
                </c:pt>
                <c:pt idx="14">
                  <c:v>238079.32441479404</c:v>
                </c:pt>
                <c:pt idx="15">
                  <c:v>238079.32441479404</c:v>
                </c:pt>
                <c:pt idx="16">
                  <c:v>317885.25466604246</c:v>
                </c:pt>
                <c:pt idx="17">
                  <c:v>317885.25466604246</c:v>
                </c:pt>
                <c:pt idx="18">
                  <c:v>317885.25466604246</c:v>
                </c:pt>
                <c:pt idx="19">
                  <c:v>317885.25466604246</c:v>
                </c:pt>
                <c:pt idx="20">
                  <c:v>317885.25466604246</c:v>
                </c:pt>
                <c:pt idx="21">
                  <c:v>317885.25466604246</c:v>
                </c:pt>
              </c:numCache>
            </c:numRef>
          </c:yVal>
          <c:smooth val="0"/>
        </c:ser>
        <c:axId val="46382959"/>
        <c:axId val="14793448"/>
      </c:scatterChart>
      <c:valAx>
        <c:axId val="46382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g/mL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3448"/>
        <c:crosses val="autoZero"/>
        <c:crossBetween val="midCat"/>
        <c:dispUnits/>
      </c:valAx>
      <c:valAx>
        <c:axId val="14793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29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3775"/>
          <c:y val="0.76125"/>
          <c:w val="0.2097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Data, Fit and confidence intervals</a:t>
            </a:r>
          </a:p>
        </c:rich>
      </c:tx>
      <c:layout>
        <c:manualLayout>
          <c:xMode val="factor"/>
          <c:yMode val="factor"/>
          <c:x val="-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725"/>
          <c:w val="0.9112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Formulas_and_calculations!$A$41</c:f>
              <c:strCache>
                <c:ptCount val="1"/>
                <c:pt idx="0">
                  <c:v>Measured 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Formulas_and_calculations!$A$3:$A$24</c:f>
              <c:numCache>
                <c:ptCount val="22"/>
                <c:pt idx="0">
                  <c:v>2.5E-07</c:v>
                </c:pt>
                <c:pt idx="1">
                  <c:v>2.5E-07</c:v>
                </c:pt>
                <c:pt idx="2">
                  <c:v>2.5E-07</c:v>
                </c:pt>
                <c:pt idx="3">
                  <c:v>2.5E-07</c:v>
                </c:pt>
                <c:pt idx="4">
                  <c:v>2.5E-07</c:v>
                </c:pt>
                <c:pt idx="5">
                  <c:v>2.5E-07</c:v>
                </c:pt>
                <c:pt idx="6">
                  <c:v>1.5E-06</c:v>
                </c:pt>
                <c:pt idx="7">
                  <c:v>1.5E-06</c:v>
                </c:pt>
                <c:pt idx="8">
                  <c:v>2.5E-06</c:v>
                </c:pt>
                <c:pt idx="9">
                  <c:v>2.5E-06</c:v>
                </c:pt>
                <c:pt idx="10">
                  <c:v>2.5E-06</c:v>
                </c:pt>
                <c:pt idx="11">
                  <c:v>2.5E-06</c:v>
                </c:pt>
                <c:pt idx="12">
                  <c:v>2.5E-06</c:v>
                </c:pt>
                <c:pt idx="13">
                  <c:v>2.5E-06</c:v>
                </c:pt>
                <c:pt idx="14">
                  <c:v>3.75E-06</c:v>
                </c:pt>
                <c:pt idx="15">
                  <c:v>3.75E-06</c:v>
                </c:pt>
                <c:pt idx="16">
                  <c:v>5E-06</c:v>
                </c:pt>
                <c:pt idx="17">
                  <c:v>5E-06</c:v>
                </c:pt>
                <c:pt idx="18">
                  <c:v>5E-06</c:v>
                </c:pt>
                <c:pt idx="19">
                  <c:v>5E-06</c:v>
                </c:pt>
                <c:pt idx="20">
                  <c:v>5E-06</c:v>
                </c:pt>
                <c:pt idx="21">
                  <c:v>5E-06</c:v>
                </c:pt>
              </c:numCache>
            </c:numRef>
          </c:xVal>
          <c:yVal>
            <c:numRef>
              <c:f>Formulas_and_calculations!$B$3:$B$24</c:f>
              <c:numCache>
                <c:ptCount val="22"/>
                <c:pt idx="0">
                  <c:v>15045.67</c:v>
                </c:pt>
                <c:pt idx="1">
                  <c:v>15436.67</c:v>
                </c:pt>
                <c:pt idx="2">
                  <c:v>14867.67</c:v>
                </c:pt>
                <c:pt idx="3">
                  <c:v>15524.67</c:v>
                </c:pt>
                <c:pt idx="4">
                  <c:v>15143.67</c:v>
                </c:pt>
                <c:pt idx="5">
                  <c:v>14858.67</c:v>
                </c:pt>
                <c:pt idx="6">
                  <c:v>94561.67</c:v>
                </c:pt>
                <c:pt idx="7">
                  <c:v>96231.67</c:v>
                </c:pt>
                <c:pt idx="8">
                  <c:v>154831.7</c:v>
                </c:pt>
                <c:pt idx="9">
                  <c:v>158151.7</c:v>
                </c:pt>
                <c:pt idx="10">
                  <c:v>150711.7</c:v>
                </c:pt>
                <c:pt idx="11">
                  <c:v>148101.7</c:v>
                </c:pt>
                <c:pt idx="12">
                  <c:v>155031.7</c:v>
                </c:pt>
                <c:pt idx="13">
                  <c:v>179401.7</c:v>
                </c:pt>
                <c:pt idx="14">
                  <c:v>234651.7</c:v>
                </c:pt>
                <c:pt idx="15">
                  <c:v>230971.7</c:v>
                </c:pt>
                <c:pt idx="16">
                  <c:v>327371.7</c:v>
                </c:pt>
                <c:pt idx="17">
                  <c:v>303621.7</c:v>
                </c:pt>
                <c:pt idx="18">
                  <c:v>301951.7</c:v>
                </c:pt>
                <c:pt idx="19">
                  <c:v>314321.7</c:v>
                </c:pt>
                <c:pt idx="20">
                  <c:v>333461.7</c:v>
                </c:pt>
                <c:pt idx="21">
                  <c:v>335451.7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Formulas_and_calculations!$A$42</c:f>
              <c:strCache>
                <c:ptCount val="1"/>
                <c:pt idx="0">
                  <c:v>Linear regression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Formulas_and_calculations!$A$3:$A$24</c:f>
              <c:numCache>
                <c:ptCount val="22"/>
                <c:pt idx="0">
                  <c:v>2.5E-07</c:v>
                </c:pt>
                <c:pt idx="1">
                  <c:v>2.5E-07</c:v>
                </c:pt>
                <c:pt idx="2">
                  <c:v>2.5E-07</c:v>
                </c:pt>
                <c:pt idx="3">
                  <c:v>2.5E-07</c:v>
                </c:pt>
                <c:pt idx="4">
                  <c:v>2.5E-07</c:v>
                </c:pt>
                <c:pt idx="5">
                  <c:v>2.5E-07</c:v>
                </c:pt>
                <c:pt idx="6">
                  <c:v>1.5E-06</c:v>
                </c:pt>
                <c:pt idx="7">
                  <c:v>1.5E-06</c:v>
                </c:pt>
                <c:pt idx="8">
                  <c:v>2.5E-06</c:v>
                </c:pt>
                <c:pt idx="9">
                  <c:v>2.5E-06</c:v>
                </c:pt>
                <c:pt idx="10">
                  <c:v>2.5E-06</c:v>
                </c:pt>
                <c:pt idx="11">
                  <c:v>2.5E-06</c:v>
                </c:pt>
                <c:pt idx="12">
                  <c:v>2.5E-06</c:v>
                </c:pt>
                <c:pt idx="13">
                  <c:v>2.5E-06</c:v>
                </c:pt>
                <c:pt idx="14">
                  <c:v>3.75E-06</c:v>
                </c:pt>
                <c:pt idx="15">
                  <c:v>3.75E-06</c:v>
                </c:pt>
                <c:pt idx="16">
                  <c:v>5E-06</c:v>
                </c:pt>
                <c:pt idx="17">
                  <c:v>5E-06</c:v>
                </c:pt>
                <c:pt idx="18">
                  <c:v>5E-06</c:v>
                </c:pt>
                <c:pt idx="19">
                  <c:v>5E-06</c:v>
                </c:pt>
                <c:pt idx="20">
                  <c:v>5E-06</c:v>
                </c:pt>
                <c:pt idx="21">
                  <c:v>5E-06</c:v>
                </c:pt>
              </c:numCache>
            </c:numRef>
          </c:xVal>
          <c:yVal>
            <c:numRef>
              <c:f>Formulas_and_calculations!$F$3:$F$24</c:f>
              <c:numCache>
                <c:ptCount val="22"/>
                <c:pt idx="0">
                  <c:v>14622.719711298481</c:v>
                </c:pt>
                <c:pt idx="1">
                  <c:v>14622.719711298481</c:v>
                </c:pt>
                <c:pt idx="2">
                  <c:v>14622.719711298481</c:v>
                </c:pt>
                <c:pt idx="3">
                  <c:v>14622.719711298481</c:v>
                </c:pt>
                <c:pt idx="4">
                  <c:v>14622.719711298481</c:v>
                </c:pt>
                <c:pt idx="5">
                  <c:v>14622.719711298481</c:v>
                </c:pt>
                <c:pt idx="6">
                  <c:v>94428.64996254689</c:v>
                </c:pt>
                <c:pt idx="7">
                  <c:v>94428.64996254689</c:v>
                </c:pt>
                <c:pt idx="8">
                  <c:v>158273.39416354563</c:v>
                </c:pt>
                <c:pt idx="9">
                  <c:v>158273.39416354563</c:v>
                </c:pt>
                <c:pt idx="10">
                  <c:v>158273.39416354563</c:v>
                </c:pt>
                <c:pt idx="11">
                  <c:v>158273.39416354563</c:v>
                </c:pt>
                <c:pt idx="12">
                  <c:v>158273.39416354563</c:v>
                </c:pt>
                <c:pt idx="13">
                  <c:v>158273.39416354563</c:v>
                </c:pt>
                <c:pt idx="14">
                  <c:v>238079.32441479404</c:v>
                </c:pt>
                <c:pt idx="15">
                  <c:v>238079.32441479404</c:v>
                </c:pt>
                <c:pt idx="16">
                  <c:v>317885.25466604246</c:v>
                </c:pt>
                <c:pt idx="17">
                  <c:v>317885.25466604246</c:v>
                </c:pt>
                <c:pt idx="18">
                  <c:v>317885.25466604246</c:v>
                </c:pt>
                <c:pt idx="19">
                  <c:v>317885.25466604246</c:v>
                </c:pt>
                <c:pt idx="20">
                  <c:v>317885.25466604246</c:v>
                </c:pt>
                <c:pt idx="21">
                  <c:v>317885.25466604246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Formulas_and_calculations!$I$28</c:f>
              <c:strCache>
                <c:ptCount val="1"/>
                <c:pt idx="0">
                  <c:v>Nedre 95% konfidens interval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Formulas_and_calculations!$H$29:$H$79</c:f>
              <c:numCache>
                <c:ptCount val="51"/>
                <c:pt idx="0">
                  <c:v>2.5E-07</c:v>
                </c:pt>
                <c:pt idx="1">
                  <c:v>3.45E-07</c:v>
                </c:pt>
                <c:pt idx="2">
                  <c:v>4.3999999999999997E-07</c:v>
                </c:pt>
                <c:pt idx="3">
                  <c:v>5.35E-07</c:v>
                </c:pt>
                <c:pt idx="4">
                  <c:v>6.3E-07</c:v>
                </c:pt>
                <c:pt idx="5">
                  <c:v>7.25E-07</c:v>
                </c:pt>
                <c:pt idx="6">
                  <c:v>8.200000000000001E-07</c:v>
                </c:pt>
                <c:pt idx="7">
                  <c:v>9.150000000000001E-07</c:v>
                </c:pt>
                <c:pt idx="8">
                  <c:v>1.01E-06</c:v>
                </c:pt>
                <c:pt idx="9">
                  <c:v>1.105E-06</c:v>
                </c:pt>
                <c:pt idx="10">
                  <c:v>1.2E-06</c:v>
                </c:pt>
                <c:pt idx="11">
                  <c:v>1.2949999999999999E-06</c:v>
                </c:pt>
                <c:pt idx="12">
                  <c:v>1.3899999999999998E-06</c:v>
                </c:pt>
                <c:pt idx="13">
                  <c:v>1.4849999999999998E-06</c:v>
                </c:pt>
                <c:pt idx="14">
                  <c:v>1.5799999999999997E-06</c:v>
                </c:pt>
                <c:pt idx="15">
                  <c:v>1.6749999999999996E-06</c:v>
                </c:pt>
                <c:pt idx="16">
                  <c:v>1.7699999999999996E-06</c:v>
                </c:pt>
                <c:pt idx="17">
                  <c:v>1.8649999999999995E-06</c:v>
                </c:pt>
                <c:pt idx="18">
                  <c:v>1.9599999999999994E-06</c:v>
                </c:pt>
                <c:pt idx="19">
                  <c:v>2.0549999999999994E-06</c:v>
                </c:pt>
                <c:pt idx="20">
                  <c:v>2.1499999999999993E-06</c:v>
                </c:pt>
                <c:pt idx="21">
                  <c:v>2.2449999999999993E-06</c:v>
                </c:pt>
                <c:pt idx="22">
                  <c:v>2.339999999999999E-06</c:v>
                </c:pt>
                <c:pt idx="23">
                  <c:v>2.434999999999999E-06</c:v>
                </c:pt>
                <c:pt idx="24">
                  <c:v>2.529999999999999E-06</c:v>
                </c:pt>
                <c:pt idx="25">
                  <c:v>2.624999999999999E-06</c:v>
                </c:pt>
                <c:pt idx="26">
                  <c:v>2.719999999999999E-06</c:v>
                </c:pt>
                <c:pt idx="27">
                  <c:v>2.814999999999999E-06</c:v>
                </c:pt>
                <c:pt idx="28">
                  <c:v>2.909999999999999E-06</c:v>
                </c:pt>
                <c:pt idx="29">
                  <c:v>3.0049999999999988E-06</c:v>
                </c:pt>
                <c:pt idx="30">
                  <c:v>3.0999999999999987E-06</c:v>
                </c:pt>
                <c:pt idx="31">
                  <c:v>3.1949999999999986E-06</c:v>
                </c:pt>
                <c:pt idx="32">
                  <c:v>3.2899999999999986E-06</c:v>
                </c:pt>
                <c:pt idx="33">
                  <c:v>3.3849999999999985E-06</c:v>
                </c:pt>
                <c:pt idx="34">
                  <c:v>3.4799999999999984E-06</c:v>
                </c:pt>
                <c:pt idx="35">
                  <c:v>3.5749999999999984E-06</c:v>
                </c:pt>
                <c:pt idx="36">
                  <c:v>3.6699999999999983E-06</c:v>
                </c:pt>
                <c:pt idx="37">
                  <c:v>3.7649999999999983E-06</c:v>
                </c:pt>
                <c:pt idx="38">
                  <c:v>3.859999999999999E-06</c:v>
                </c:pt>
                <c:pt idx="39">
                  <c:v>3.9549999999999986E-06</c:v>
                </c:pt>
                <c:pt idx="40">
                  <c:v>4.0499999999999985E-06</c:v>
                </c:pt>
                <c:pt idx="41">
                  <c:v>4.1449999999999984E-06</c:v>
                </c:pt>
                <c:pt idx="42">
                  <c:v>4.239999999999998E-06</c:v>
                </c:pt>
                <c:pt idx="43">
                  <c:v>4.334999999999998E-06</c:v>
                </c:pt>
                <c:pt idx="44">
                  <c:v>4.429999999999998E-06</c:v>
                </c:pt>
                <c:pt idx="45">
                  <c:v>4.524999999999998E-06</c:v>
                </c:pt>
                <c:pt idx="46">
                  <c:v>4.619999999999998E-06</c:v>
                </c:pt>
                <c:pt idx="47">
                  <c:v>4.714999999999998E-06</c:v>
                </c:pt>
                <c:pt idx="48">
                  <c:v>4.809999999999998E-06</c:v>
                </c:pt>
                <c:pt idx="49">
                  <c:v>4.904999999999998E-06</c:v>
                </c:pt>
                <c:pt idx="50">
                  <c:v>4.999999999999998E-06</c:v>
                </c:pt>
              </c:numCache>
            </c:numRef>
          </c:xVal>
          <c:yVal>
            <c:numRef>
              <c:f>Formulas_and_calculations!$I$29:$I$79</c:f>
              <c:numCache>
                <c:ptCount val="51"/>
                <c:pt idx="0">
                  <c:v>-10478.050218595183</c:v>
                </c:pt>
                <c:pt idx="1">
                  <c:v>-4293.604023679793</c:v>
                </c:pt>
                <c:pt idx="2">
                  <c:v>1886.4410614429144</c:v>
                </c:pt>
                <c:pt idx="3">
                  <c:v>8062.023813532684</c:v>
                </c:pt>
                <c:pt idx="4">
                  <c:v>14233.084314591546</c:v>
                </c:pt>
                <c:pt idx="5">
                  <c:v>20399.564090822405</c:v>
                </c:pt>
                <c:pt idx="6">
                  <c:v>26561.40625269706</c:v>
                </c:pt>
                <c:pt idx="7">
                  <c:v>32718.55563549097</c:v>
                </c:pt>
                <c:pt idx="8">
                  <c:v>38870.95893960231</c:v>
                </c:pt>
                <c:pt idx="9">
                  <c:v>45018.564869938324</c:v>
                </c:pt>
                <c:pt idx="10">
                  <c:v>51161.32427362169</c:v>
                </c:pt>
                <c:pt idx="11">
                  <c:v>57299.19027524594</c:v>
                </c:pt>
                <c:pt idx="12">
                  <c:v>63432.118408891445</c:v>
                </c:pt>
                <c:pt idx="13">
                  <c:v>69560.06674610364</c:v>
                </c:pt>
                <c:pt idx="14">
                  <c:v>75682.99601903248</c:v>
                </c:pt>
                <c:pt idx="15">
                  <c:v>81800.86973793848</c:v>
                </c:pt>
                <c:pt idx="16">
                  <c:v>87913.65430228492</c:v>
                </c:pt>
                <c:pt idx="17">
                  <c:v>94021.31910465918</c:v>
                </c:pt>
                <c:pt idx="18">
                  <c:v>100123.83662679873</c:v>
                </c:pt>
                <c:pt idx="19">
                  <c:v>106221.18252703747</c:v>
                </c:pt>
                <c:pt idx="20">
                  <c:v>112313.33571853855</c:v>
                </c:pt>
                <c:pt idx="21">
                  <c:v>118400.27843773636</c:v>
                </c:pt>
                <c:pt idx="22">
                  <c:v>124481.99630247621</c:v>
                </c:pt>
                <c:pt idx="23">
                  <c:v>130558.47835941163</c:v>
                </c:pt>
                <c:pt idx="24">
                  <c:v>136629.71712029708</c:v>
                </c:pt>
                <c:pt idx="25">
                  <c:v>142695.70858689692</c:v>
                </c:pt>
                <c:pt idx="26">
                  <c:v>148756.4522643173</c:v>
                </c:pt>
                <c:pt idx="27">
                  <c:v>154811.9511626583</c:v>
                </c:pt>
                <c:pt idx="28">
                  <c:v>160862.21178697218</c:v>
                </c:pt>
                <c:pt idx="29">
                  <c:v>166907.24411560717</c:v>
                </c:pt>
                <c:pt idx="30">
                  <c:v>172947.06156710355</c:v>
                </c:pt>
                <c:pt idx="31">
                  <c:v>178981.68095589805</c:v>
                </c:pt>
                <c:pt idx="32">
                  <c:v>185011.1224371754</c:v>
                </c:pt>
                <c:pt idx="33">
                  <c:v>191035.4094412857</c:v>
                </c:pt>
                <c:pt idx="34">
                  <c:v>197054.56859821995</c:v>
                </c:pt>
                <c:pt idx="35">
                  <c:v>203068.62965270248</c:v>
                </c:pt>
                <c:pt idx="36">
                  <c:v>209077.62537051996</c:v>
                </c:pt>
                <c:pt idx="37">
                  <c:v>215081.5914367569</c:v>
                </c:pt>
                <c:pt idx="38">
                  <c:v>221080.56634665228</c:v>
                </c:pt>
                <c:pt idx="39">
                  <c:v>227074.59128982603</c:v>
                </c:pt>
                <c:pt idx="40">
                  <c:v>233063.71002864983</c:v>
                </c:pt>
                <c:pt idx="41">
                  <c:v>239047.9687715537</c:v>
                </c:pt>
                <c:pt idx="42">
                  <c:v>245027.41604206868</c:v>
                </c:pt>
                <c:pt idx="43">
                  <c:v>251002.1025444059</c:v>
                </c:pt>
                <c:pt idx="44">
                  <c:v>256972.0810263624</c:v>
                </c:pt>
                <c:pt idx="45">
                  <c:v>262937.4061403328</c:v>
                </c:pt>
                <c:pt idx="46">
                  <c:v>268898.1343031792</c:v>
                </c:pt>
                <c:pt idx="47">
                  <c:v>274854.32355568674</c:v>
                </c:pt>
                <c:pt idx="48">
                  <c:v>280806.0334222966</c:v>
                </c:pt>
                <c:pt idx="49">
                  <c:v>286753.324771772</c:v>
                </c:pt>
                <c:pt idx="50">
                  <c:v>292696.25967940805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Formulas_and_calculations!$J$28</c:f>
              <c:strCache>
                <c:ptCount val="1"/>
                <c:pt idx="0">
                  <c:v>Øvre 95% konfidens interval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Formulas_and_calculations!$H$29:$H$79</c:f>
              <c:numCache>
                <c:ptCount val="51"/>
                <c:pt idx="0">
                  <c:v>2.5E-07</c:v>
                </c:pt>
                <c:pt idx="1">
                  <c:v>3.45E-07</c:v>
                </c:pt>
                <c:pt idx="2">
                  <c:v>4.3999999999999997E-07</c:v>
                </c:pt>
                <c:pt idx="3">
                  <c:v>5.35E-07</c:v>
                </c:pt>
                <c:pt idx="4">
                  <c:v>6.3E-07</c:v>
                </c:pt>
                <c:pt idx="5">
                  <c:v>7.25E-07</c:v>
                </c:pt>
                <c:pt idx="6">
                  <c:v>8.200000000000001E-07</c:v>
                </c:pt>
                <c:pt idx="7">
                  <c:v>9.150000000000001E-07</c:v>
                </c:pt>
                <c:pt idx="8">
                  <c:v>1.01E-06</c:v>
                </c:pt>
                <c:pt idx="9">
                  <c:v>1.105E-06</c:v>
                </c:pt>
                <c:pt idx="10">
                  <c:v>1.2E-06</c:v>
                </c:pt>
                <c:pt idx="11">
                  <c:v>1.2949999999999999E-06</c:v>
                </c:pt>
                <c:pt idx="12">
                  <c:v>1.3899999999999998E-06</c:v>
                </c:pt>
                <c:pt idx="13">
                  <c:v>1.4849999999999998E-06</c:v>
                </c:pt>
                <c:pt idx="14">
                  <c:v>1.5799999999999997E-06</c:v>
                </c:pt>
                <c:pt idx="15">
                  <c:v>1.6749999999999996E-06</c:v>
                </c:pt>
                <c:pt idx="16">
                  <c:v>1.7699999999999996E-06</c:v>
                </c:pt>
                <c:pt idx="17">
                  <c:v>1.8649999999999995E-06</c:v>
                </c:pt>
                <c:pt idx="18">
                  <c:v>1.9599999999999994E-06</c:v>
                </c:pt>
                <c:pt idx="19">
                  <c:v>2.0549999999999994E-06</c:v>
                </c:pt>
                <c:pt idx="20">
                  <c:v>2.1499999999999993E-06</c:v>
                </c:pt>
                <c:pt idx="21">
                  <c:v>2.2449999999999993E-06</c:v>
                </c:pt>
                <c:pt idx="22">
                  <c:v>2.339999999999999E-06</c:v>
                </c:pt>
                <c:pt idx="23">
                  <c:v>2.434999999999999E-06</c:v>
                </c:pt>
                <c:pt idx="24">
                  <c:v>2.529999999999999E-06</c:v>
                </c:pt>
                <c:pt idx="25">
                  <c:v>2.624999999999999E-06</c:v>
                </c:pt>
                <c:pt idx="26">
                  <c:v>2.719999999999999E-06</c:v>
                </c:pt>
                <c:pt idx="27">
                  <c:v>2.814999999999999E-06</c:v>
                </c:pt>
                <c:pt idx="28">
                  <c:v>2.909999999999999E-06</c:v>
                </c:pt>
                <c:pt idx="29">
                  <c:v>3.0049999999999988E-06</c:v>
                </c:pt>
                <c:pt idx="30">
                  <c:v>3.0999999999999987E-06</c:v>
                </c:pt>
                <c:pt idx="31">
                  <c:v>3.1949999999999986E-06</c:v>
                </c:pt>
                <c:pt idx="32">
                  <c:v>3.2899999999999986E-06</c:v>
                </c:pt>
                <c:pt idx="33">
                  <c:v>3.3849999999999985E-06</c:v>
                </c:pt>
                <c:pt idx="34">
                  <c:v>3.4799999999999984E-06</c:v>
                </c:pt>
                <c:pt idx="35">
                  <c:v>3.5749999999999984E-06</c:v>
                </c:pt>
                <c:pt idx="36">
                  <c:v>3.6699999999999983E-06</c:v>
                </c:pt>
                <c:pt idx="37">
                  <c:v>3.7649999999999983E-06</c:v>
                </c:pt>
                <c:pt idx="38">
                  <c:v>3.859999999999999E-06</c:v>
                </c:pt>
                <c:pt idx="39">
                  <c:v>3.9549999999999986E-06</c:v>
                </c:pt>
                <c:pt idx="40">
                  <c:v>4.0499999999999985E-06</c:v>
                </c:pt>
                <c:pt idx="41">
                  <c:v>4.1449999999999984E-06</c:v>
                </c:pt>
                <c:pt idx="42">
                  <c:v>4.239999999999998E-06</c:v>
                </c:pt>
                <c:pt idx="43">
                  <c:v>4.334999999999998E-06</c:v>
                </c:pt>
                <c:pt idx="44">
                  <c:v>4.429999999999998E-06</c:v>
                </c:pt>
                <c:pt idx="45">
                  <c:v>4.524999999999998E-06</c:v>
                </c:pt>
                <c:pt idx="46">
                  <c:v>4.619999999999998E-06</c:v>
                </c:pt>
                <c:pt idx="47">
                  <c:v>4.714999999999998E-06</c:v>
                </c:pt>
                <c:pt idx="48">
                  <c:v>4.809999999999998E-06</c:v>
                </c:pt>
                <c:pt idx="49">
                  <c:v>4.904999999999998E-06</c:v>
                </c:pt>
                <c:pt idx="50">
                  <c:v>4.999999999999998E-06</c:v>
                </c:pt>
              </c:numCache>
            </c:numRef>
          </c:xVal>
          <c:yVal>
            <c:numRef>
              <c:f>Formulas_and_calculations!$J$29:$J$79</c:f>
              <c:numCache>
                <c:ptCount val="51"/>
                <c:pt idx="0">
                  <c:v>39723.48964119214</c:v>
                </c:pt>
                <c:pt idx="1">
                  <c:v>45669.544844466516</c:v>
                </c:pt>
                <c:pt idx="2">
                  <c:v>51620.00115753356</c:v>
                </c:pt>
                <c:pt idx="3">
                  <c:v>57574.91980363356</c:v>
                </c:pt>
                <c:pt idx="4">
                  <c:v>63534.36070076446</c:v>
                </c:pt>
                <c:pt idx="5">
                  <c:v>69498.38232272337</c:v>
                </c:pt>
                <c:pt idx="6">
                  <c:v>75467.04155903845</c:v>
                </c:pt>
                <c:pt idx="7">
                  <c:v>81440.3935744343</c:v>
                </c:pt>
                <c:pt idx="8">
                  <c:v>87418.49166851272</c:v>
                </c:pt>
                <c:pt idx="9">
                  <c:v>93401.38713636645</c:v>
                </c:pt>
                <c:pt idx="10">
                  <c:v>99389.12913087284</c:v>
                </c:pt>
                <c:pt idx="11">
                  <c:v>105381.76452743834</c:v>
                </c:pt>
                <c:pt idx="12">
                  <c:v>111379.33779198259</c:v>
                </c:pt>
                <c:pt idx="13">
                  <c:v>117381.89085296015</c:v>
                </c:pt>
                <c:pt idx="14">
                  <c:v>123389.46297822105</c:v>
                </c:pt>
                <c:pt idx="15">
                  <c:v>129402.0906575048</c:v>
                </c:pt>
                <c:pt idx="16">
                  <c:v>135419.80749134813</c:v>
                </c:pt>
                <c:pt idx="17">
                  <c:v>141442.64408716362</c:v>
                </c:pt>
                <c:pt idx="18">
                  <c:v>147470.6279632138</c:v>
                </c:pt>
                <c:pt idx="19">
                  <c:v>153503.78346116486</c:v>
                </c:pt>
                <c:pt idx="20">
                  <c:v>159542.1316678535</c:v>
                </c:pt>
                <c:pt idx="21">
                  <c:v>165585.69034684545</c:v>
                </c:pt>
                <c:pt idx="22">
                  <c:v>171634.47388029535</c:v>
                </c:pt>
                <c:pt idx="23">
                  <c:v>177688.49322154967</c:v>
                </c:pt>
                <c:pt idx="24">
                  <c:v>183747.75585885398</c:v>
                </c:pt>
                <c:pt idx="25">
                  <c:v>189812.2657904439</c:v>
                </c:pt>
                <c:pt idx="26">
                  <c:v>195882.02351121325</c:v>
                </c:pt>
                <c:pt idx="27">
                  <c:v>201957.026011062</c:v>
                </c:pt>
                <c:pt idx="28">
                  <c:v>208037.26678493788</c:v>
                </c:pt>
                <c:pt idx="29">
                  <c:v>214122.73585449264</c:v>
                </c:pt>
                <c:pt idx="30">
                  <c:v>220213.419801186</c:v>
                </c:pt>
                <c:pt idx="31">
                  <c:v>226309.30181058127</c:v>
                </c:pt>
                <c:pt idx="32">
                  <c:v>232410.36172749367</c:v>
                </c:pt>
                <c:pt idx="33">
                  <c:v>238516.5761215731</c:v>
                </c:pt>
                <c:pt idx="34">
                  <c:v>244627.9183628286</c:v>
                </c:pt>
                <c:pt idx="35">
                  <c:v>250744.35870653583</c:v>
                </c:pt>
                <c:pt idx="36">
                  <c:v>256865.8643869081</c:v>
                </c:pt>
                <c:pt idx="37">
                  <c:v>262992.3997188609</c:v>
                </c:pt>
                <c:pt idx="38">
                  <c:v>269123.9262071553</c:v>
                </c:pt>
                <c:pt idx="39">
                  <c:v>275260.4026621713</c:v>
                </c:pt>
                <c:pt idx="40">
                  <c:v>281401.78532153723</c:v>
                </c:pt>
                <c:pt idx="41">
                  <c:v>287548.0279768232</c:v>
                </c:pt>
                <c:pt idx="42">
                  <c:v>293699.0821044979</c:v>
                </c:pt>
                <c:pt idx="43">
                  <c:v>299854.89700035047</c:v>
                </c:pt>
                <c:pt idx="44">
                  <c:v>306015.4199165837</c:v>
                </c:pt>
                <c:pt idx="45">
                  <c:v>312180.59620080306</c:v>
                </c:pt>
                <c:pt idx="46">
                  <c:v>318350.36943614634</c:v>
                </c:pt>
                <c:pt idx="47">
                  <c:v>324524.6815818286</c:v>
                </c:pt>
                <c:pt idx="48">
                  <c:v>330703.4731134085</c:v>
                </c:pt>
                <c:pt idx="49">
                  <c:v>336886.68316212285</c:v>
                </c:pt>
                <c:pt idx="50">
                  <c:v>343074.2496526765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Formulas_and_calculations!$K$28</c:f>
              <c:strCache>
                <c:ptCount val="1"/>
                <c:pt idx="0">
                  <c:v>Nedre 99% konfidens interval</c:v>
                </c:pt>
              </c:strCache>
            </c:strRef>
          </c:tx>
          <c:spPr>
            <a:ln w="12700">
              <a:solidFill>
                <a:srgbClr val="1FB714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Formulas_and_calculations!$H$29:$H$79</c:f>
              <c:numCache>
                <c:ptCount val="51"/>
                <c:pt idx="0">
                  <c:v>2.5E-07</c:v>
                </c:pt>
                <c:pt idx="1">
                  <c:v>3.45E-07</c:v>
                </c:pt>
                <c:pt idx="2">
                  <c:v>4.3999999999999997E-07</c:v>
                </c:pt>
                <c:pt idx="3">
                  <c:v>5.35E-07</c:v>
                </c:pt>
                <c:pt idx="4">
                  <c:v>6.3E-07</c:v>
                </c:pt>
                <c:pt idx="5">
                  <c:v>7.25E-07</c:v>
                </c:pt>
                <c:pt idx="6">
                  <c:v>8.200000000000001E-07</c:v>
                </c:pt>
                <c:pt idx="7">
                  <c:v>9.150000000000001E-07</c:v>
                </c:pt>
                <c:pt idx="8">
                  <c:v>1.01E-06</c:v>
                </c:pt>
                <c:pt idx="9">
                  <c:v>1.105E-06</c:v>
                </c:pt>
                <c:pt idx="10">
                  <c:v>1.2E-06</c:v>
                </c:pt>
                <c:pt idx="11">
                  <c:v>1.2949999999999999E-06</c:v>
                </c:pt>
                <c:pt idx="12">
                  <c:v>1.3899999999999998E-06</c:v>
                </c:pt>
                <c:pt idx="13">
                  <c:v>1.4849999999999998E-06</c:v>
                </c:pt>
                <c:pt idx="14">
                  <c:v>1.5799999999999997E-06</c:v>
                </c:pt>
                <c:pt idx="15">
                  <c:v>1.6749999999999996E-06</c:v>
                </c:pt>
                <c:pt idx="16">
                  <c:v>1.7699999999999996E-06</c:v>
                </c:pt>
                <c:pt idx="17">
                  <c:v>1.8649999999999995E-06</c:v>
                </c:pt>
                <c:pt idx="18">
                  <c:v>1.9599999999999994E-06</c:v>
                </c:pt>
                <c:pt idx="19">
                  <c:v>2.0549999999999994E-06</c:v>
                </c:pt>
                <c:pt idx="20">
                  <c:v>2.1499999999999993E-06</c:v>
                </c:pt>
                <c:pt idx="21">
                  <c:v>2.2449999999999993E-06</c:v>
                </c:pt>
                <c:pt idx="22">
                  <c:v>2.339999999999999E-06</c:v>
                </c:pt>
                <c:pt idx="23">
                  <c:v>2.434999999999999E-06</c:v>
                </c:pt>
                <c:pt idx="24">
                  <c:v>2.529999999999999E-06</c:v>
                </c:pt>
                <c:pt idx="25">
                  <c:v>2.624999999999999E-06</c:v>
                </c:pt>
                <c:pt idx="26">
                  <c:v>2.719999999999999E-06</c:v>
                </c:pt>
                <c:pt idx="27">
                  <c:v>2.814999999999999E-06</c:v>
                </c:pt>
                <c:pt idx="28">
                  <c:v>2.909999999999999E-06</c:v>
                </c:pt>
                <c:pt idx="29">
                  <c:v>3.0049999999999988E-06</c:v>
                </c:pt>
                <c:pt idx="30">
                  <c:v>3.0999999999999987E-06</c:v>
                </c:pt>
                <c:pt idx="31">
                  <c:v>3.1949999999999986E-06</c:v>
                </c:pt>
                <c:pt idx="32">
                  <c:v>3.2899999999999986E-06</c:v>
                </c:pt>
                <c:pt idx="33">
                  <c:v>3.3849999999999985E-06</c:v>
                </c:pt>
                <c:pt idx="34">
                  <c:v>3.4799999999999984E-06</c:v>
                </c:pt>
                <c:pt idx="35">
                  <c:v>3.5749999999999984E-06</c:v>
                </c:pt>
                <c:pt idx="36">
                  <c:v>3.6699999999999983E-06</c:v>
                </c:pt>
                <c:pt idx="37">
                  <c:v>3.7649999999999983E-06</c:v>
                </c:pt>
                <c:pt idx="38">
                  <c:v>3.859999999999999E-06</c:v>
                </c:pt>
                <c:pt idx="39">
                  <c:v>3.9549999999999986E-06</c:v>
                </c:pt>
                <c:pt idx="40">
                  <c:v>4.0499999999999985E-06</c:v>
                </c:pt>
                <c:pt idx="41">
                  <c:v>4.1449999999999984E-06</c:v>
                </c:pt>
                <c:pt idx="42">
                  <c:v>4.239999999999998E-06</c:v>
                </c:pt>
                <c:pt idx="43">
                  <c:v>4.334999999999998E-06</c:v>
                </c:pt>
                <c:pt idx="44">
                  <c:v>4.429999999999998E-06</c:v>
                </c:pt>
                <c:pt idx="45">
                  <c:v>4.524999999999998E-06</c:v>
                </c:pt>
                <c:pt idx="46">
                  <c:v>4.619999999999998E-06</c:v>
                </c:pt>
                <c:pt idx="47">
                  <c:v>4.714999999999998E-06</c:v>
                </c:pt>
                <c:pt idx="48">
                  <c:v>4.809999999999998E-06</c:v>
                </c:pt>
                <c:pt idx="49">
                  <c:v>4.904999999999998E-06</c:v>
                </c:pt>
                <c:pt idx="50">
                  <c:v>4.999999999999998E-06</c:v>
                </c:pt>
              </c:numCache>
            </c:numRef>
          </c:xVal>
          <c:yVal>
            <c:numRef>
              <c:f>Formulas_and_calculations!$K$29:$K$79</c:f>
              <c:numCache>
                <c:ptCount val="51"/>
                <c:pt idx="0">
                  <c:v>-18042.973403661723</c:v>
                </c:pt>
                <c:pt idx="1">
                  <c:v>-11822.60381785408</c:v>
                </c:pt>
                <c:pt idx="2">
                  <c:v>-5607.961757626512</c:v>
                </c:pt>
                <c:pt idx="3">
                  <c:v>600.8731021909589</c:v>
                </c:pt>
                <c:pt idx="4">
                  <c:v>6803.82278538727</c:v>
                </c:pt>
                <c:pt idx="5">
                  <c:v>13000.81119520856</c:v>
                </c:pt>
                <c:pt idx="6">
                  <c:v>19191.764296640173</c:v>
                </c:pt>
                <c:pt idx="7">
                  <c:v>25376.610299296088</c:v>
                </c:pt>
                <c:pt idx="8">
                  <c:v>31555.27984002763</c:v>
                </c:pt>
                <c:pt idx="9">
                  <c:v>37727.7061643184</c:v>
                </c:pt>
                <c:pt idx="10">
                  <c:v>43893.82530549285</c:v>
                </c:pt>
                <c:pt idx="11">
                  <c:v>50053.57626073522</c:v>
                </c:pt>
                <c:pt idx="12">
                  <c:v>56206.901162892915</c:v>
                </c:pt>
                <c:pt idx="13">
                  <c:v>62353.74544702495</c:v>
                </c:pt>
                <c:pt idx="14">
                  <c:v>68494.0580106535</c:v>
                </c:pt>
                <c:pt idx="15">
                  <c:v>74627.79136668418</c:v>
                </c:pt>
                <c:pt idx="16">
                  <c:v>80754.9017879793</c:v>
                </c:pt>
                <c:pt idx="17">
                  <c:v>86875.34944259944</c:v>
                </c:pt>
                <c:pt idx="18">
                  <c:v>92989.09851876987</c:v>
                </c:pt>
                <c:pt idx="19">
                  <c:v>99096.11733868162</c:v>
                </c:pt>
                <c:pt idx="20">
                  <c:v>105196.37846030231</c:v>
                </c:pt>
                <c:pt idx="21">
                  <c:v>111289.8587664453</c:v>
                </c:pt>
                <c:pt idx="22">
                  <c:v>117376.53954043168</c:v>
                </c:pt>
                <c:pt idx="23">
                  <c:v>123456.40652777223</c:v>
                </c:pt>
                <c:pt idx="24">
                  <c:v>129529.44998339811</c:v>
                </c:pt>
                <c:pt idx="25">
                  <c:v>135595.66470407692</c:v>
                </c:pt>
                <c:pt idx="26">
                  <c:v>141655.05004576276</c:v>
                </c:pt>
                <c:pt idx="27">
                  <c:v>147707.60992574596</c:v>
                </c:pt>
                <c:pt idx="28">
                  <c:v>153753.3528095852</c:v>
                </c:pt>
                <c:pt idx="29">
                  <c:v>159792.29168292444</c:v>
                </c:pt>
                <c:pt idx="30">
                  <c:v>165824.44400841207</c:v>
                </c:pt>
                <c:pt idx="31">
                  <c:v>171849.83166805533</c:v>
                </c:pt>
                <c:pt idx="32">
                  <c:v>177868.4808914512</c:v>
                </c:pt>
                <c:pt idx="33">
                  <c:v>183880.42217043834</c:v>
                </c:pt>
                <c:pt idx="34">
                  <c:v>189885.69016081074</c:v>
                </c:pt>
                <c:pt idx="35">
                  <c:v>195884.3235718208</c:v>
                </c:pt>
                <c:pt idx="36">
                  <c:v>201876.3650442773</c:v>
                </c:pt>
                <c:pt idx="37">
                  <c:v>207861.86101811106</c:v>
                </c:pt>
                <c:pt idx="38">
                  <c:v>213840.86159033776</c:v>
                </c:pt>
                <c:pt idx="39">
                  <c:v>219813.42036439216</c:v>
                </c:pt>
                <c:pt idx="40">
                  <c:v>225779.5942918421</c:v>
                </c:pt>
                <c:pt idx="41">
                  <c:v>231739.44350751216</c:v>
                </c:pt>
                <c:pt idx="42">
                  <c:v>237693.03115905792</c:v>
                </c:pt>
                <c:pt idx="43">
                  <c:v>243640.4232320329</c:v>
                </c:pt>
                <c:pt idx="44">
                  <c:v>249581.68837147695</c:v>
                </c:pt>
                <c:pt idx="45">
                  <c:v>255516.89770103915</c:v>
                </c:pt>
                <c:pt idx="46">
                  <c:v>261446.12464061484</c:v>
                </c:pt>
                <c:pt idx="47">
                  <c:v>267369.4447234439</c:v>
                </c:pt>
                <c:pt idx="48">
                  <c:v>273286.9354135696</c:v>
                </c:pt>
                <c:pt idx="49">
                  <c:v>279198.6759245121</c:v>
                </c:pt>
                <c:pt idx="50">
                  <c:v>285104.74703995005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Formulas_and_calculations!$L$28</c:f>
              <c:strCache>
                <c:ptCount val="1"/>
                <c:pt idx="0">
                  <c:v>Øvre 99% konfidens interval</c:v>
                </c:pt>
              </c:strCache>
            </c:strRef>
          </c:tx>
          <c:spPr>
            <a:ln w="12700">
              <a:solidFill>
                <a:srgbClr val="1FB714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Formulas_and_calculations!$H$29:$H$79</c:f>
              <c:numCache>
                <c:ptCount val="51"/>
                <c:pt idx="0">
                  <c:v>2.5E-07</c:v>
                </c:pt>
                <c:pt idx="1">
                  <c:v>3.45E-07</c:v>
                </c:pt>
                <c:pt idx="2">
                  <c:v>4.3999999999999997E-07</c:v>
                </c:pt>
                <c:pt idx="3">
                  <c:v>5.35E-07</c:v>
                </c:pt>
                <c:pt idx="4">
                  <c:v>6.3E-07</c:v>
                </c:pt>
                <c:pt idx="5">
                  <c:v>7.25E-07</c:v>
                </c:pt>
                <c:pt idx="6">
                  <c:v>8.200000000000001E-07</c:v>
                </c:pt>
                <c:pt idx="7">
                  <c:v>9.150000000000001E-07</c:v>
                </c:pt>
                <c:pt idx="8">
                  <c:v>1.01E-06</c:v>
                </c:pt>
                <c:pt idx="9">
                  <c:v>1.105E-06</c:v>
                </c:pt>
                <c:pt idx="10">
                  <c:v>1.2E-06</c:v>
                </c:pt>
                <c:pt idx="11">
                  <c:v>1.2949999999999999E-06</c:v>
                </c:pt>
                <c:pt idx="12">
                  <c:v>1.3899999999999998E-06</c:v>
                </c:pt>
                <c:pt idx="13">
                  <c:v>1.4849999999999998E-06</c:v>
                </c:pt>
                <c:pt idx="14">
                  <c:v>1.5799999999999997E-06</c:v>
                </c:pt>
                <c:pt idx="15">
                  <c:v>1.6749999999999996E-06</c:v>
                </c:pt>
                <c:pt idx="16">
                  <c:v>1.7699999999999996E-06</c:v>
                </c:pt>
                <c:pt idx="17">
                  <c:v>1.8649999999999995E-06</c:v>
                </c:pt>
                <c:pt idx="18">
                  <c:v>1.9599999999999994E-06</c:v>
                </c:pt>
                <c:pt idx="19">
                  <c:v>2.0549999999999994E-06</c:v>
                </c:pt>
                <c:pt idx="20">
                  <c:v>2.1499999999999993E-06</c:v>
                </c:pt>
                <c:pt idx="21">
                  <c:v>2.2449999999999993E-06</c:v>
                </c:pt>
                <c:pt idx="22">
                  <c:v>2.339999999999999E-06</c:v>
                </c:pt>
                <c:pt idx="23">
                  <c:v>2.434999999999999E-06</c:v>
                </c:pt>
                <c:pt idx="24">
                  <c:v>2.529999999999999E-06</c:v>
                </c:pt>
                <c:pt idx="25">
                  <c:v>2.624999999999999E-06</c:v>
                </c:pt>
                <c:pt idx="26">
                  <c:v>2.719999999999999E-06</c:v>
                </c:pt>
                <c:pt idx="27">
                  <c:v>2.814999999999999E-06</c:v>
                </c:pt>
                <c:pt idx="28">
                  <c:v>2.909999999999999E-06</c:v>
                </c:pt>
                <c:pt idx="29">
                  <c:v>3.0049999999999988E-06</c:v>
                </c:pt>
                <c:pt idx="30">
                  <c:v>3.0999999999999987E-06</c:v>
                </c:pt>
                <c:pt idx="31">
                  <c:v>3.1949999999999986E-06</c:v>
                </c:pt>
                <c:pt idx="32">
                  <c:v>3.2899999999999986E-06</c:v>
                </c:pt>
                <c:pt idx="33">
                  <c:v>3.3849999999999985E-06</c:v>
                </c:pt>
                <c:pt idx="34">
                  <c:v>3.4799999999999984E-06</c:v>
                </c:pt>
                <c:pt idx="35">
                  <c:v>3.5749999999999984E-06</c:v>
                </c:pt>
                <c:pt idx="36">
                  <c:v>3.6699999999999983E-06</c:v>
                </c:pt>
                <c:pt idx="37">
                  <c:v>3.7649999999999983E-06</c:v>
                </c:pt>
                <c:pt idx="38">
                  <c:v>3.859999999999999E-06</c:v>
                </c:pt>
                <c:pt idx="39">
                  <c:v>3.9549999999999986E-06</c:v>
                </c:pt>
                <c:pt idx="40">
                  <c:v>4.0499999999999985E-06</c:v>
                </c:pt>
                <c:pt idx="41">
                  <c:v>4.1449999999999984E-06</c:v>
                </c:pt>
                <c:pt idx="42">
                  <c:v>4.239999999999998E-06</c:v>
                </c:pt>
                <c:pt idx="43">
                  <c:v>4.334999999999998E-06</c:v>
                </c:pt>
                <c:pt idx="44">
                  <c:v>4.429999999999998E-06</c:v>
                </c:pt>
                <c:pt idx="45">
                  <c:v>4.524999999999998E-06</c:v>
                </c:pt>
                <c:pt idx="46">
                  <c:v>4.619999999999998E-06</c:v>
                </c:pt>
                <c:pt idx="47">
                  <c:v>4.714999999999998E-06</c:v>
                </c:pt>
                <c:pt idx="48">
                  <c:v>4.809999999999998E-06</c:v>
                </c:pt>
                <c:pt idx="49">
                  <c:v>4.904999999999998E-06</c:v>
                </c:pt>
                <c:pt idx="50">
                  <c:v>4.999999999999998E-06</c:v>
                </c:pt>
              </c:numCache>
            </c:numRef>
          </c:xVal>
          <c:yVal>
            <c:numRef>
              <c:f>Formulas_and_calculations!$L$29:$L$79</c:f>
              <c:numCache>
                <c:ptCount val="51"/>
                <c:pt idx="0">
                  <c:v>47288.41282625868</c:v>
                </c:pt>
                <c:pt idx="1">
                  <c:v>53198.5446386408</c:v>
                </c:pt>
                <c:pt idx="2">
                  <c:v>59114.40397660299</c:v>
                </c:pt>
                <c:pt idx="3">
                  <c:v>65036.070514975276</c:v>
                </c:pt>
                <c:pt idx="4">
                  <c:v>70963.62222996874</c:v>
                </c:pt>
                <c:pt idx="5">
                  <c:v>76897.13521833721</c:v>
                </c:pt>
                <c:pt idx="6">
                  <c:v>82836.68351509534</c:v>
                </c:pt>
                <c:pt idx="7">
                  <c:v>88782.33891062919</c:v>
                </c:pt>
                <c:pt idx="8">
                  <c:v>94734.17076808741</c:v>
                </c:pt>
                <c:pt idx="9">
                  <c:v>100692.24584198638</c:v>
                </c:pt>
                <c:pt idx="10">
                  <c:v>106656.62809900168</c:v>
                </c:pt>
                <c:pt idx="11">
                  <c:v>112627.37854194906</c:v>
                </c:pt>
                <c:pt idx="12">
                  <c:v>118604.55503798112</c:v>
                </c:pt>
                <c:pt idx="13">
                  <c:v>124588.21215203883</c:v>
                </c:pt>
                <c:pt idx="14">
                  <c:v>130578.40098660003</c:v>
                </c:pt>
                <c:pt idx="15">
                  <c:v>136575.16902875912</c:v>
                </c:pt>
                <c:pt idx="16">
                  <c:v>142578.56000565374</c:v>
                </c:pt>
                <c:pt idx="17">
                  <c:v>148588.61374922332</c:v>
                </c:pt>
                <c:pt idx="18">
                  <c:v>154605.36607124266</c:v>
                </c:pt>
                <c:pt idx="19">
                  <c:v>160628.8486495207</c:v>
                </c:pt>
                <c:pt idx="20">
                  <c:v>166659.08892608975</c:v>
                </c:pt>
                <c:pt idx="21">
                  <c:v>172696.1100181365</c:v>
                </c:pt>
                <c:pt idx="22">
                  <c:v>178739.93064233987</c:v>
                </c:pt>
                <c:pt idx="23">
                  <c:v>184790.5650531891</c:v>
                </c:pt>
                <c:pt idx="24">
                  <c:v>190848.02299575295</c:v>
                </c:pt>
                <c:pt idx="25">
                  <c:v>196912.3096732639</c:v>
                </c:pt>
                <c:pt idx="26">
                  <c:v>202983.4257297678</c:v>
                </c:pt>
                <c:pt idx="27">
                  <c:v>209061.36724797435</c:v>
                </c:pt>
                <c:pt idx="28">
                  <c:v>215146.12576232487</c:v>
                </c:pt>
                <c:pt idx="29">
                  <c:v>221237.68828717538</c:v>
                </c:pt>
                <c:pt idx="30">
                  <c:v>227336.0373598775</c:v>
                </c:pt>
                <c:pt idx="31">
                  <c:v>233441.151098424</c:v>
                </c:pt>
                <c:pt idx="32">
                  <c:v>239553.00327321785</c:v>
                </c:pt>
                <c:pt idx="33">
                  <c:v>245671.56339242047</c:v>
                </c:pt>
                <c:pt idx="34">
                  <c:v>251796.79680023782</c:v>
                </c:pt>
                <c:pt idx="35">
                  <c:v>257928.6647874175</c:v>
                </c:pt>
                <c:pt idx="36">
                  <c:v>264067.1247131508</c:v>
                </c:pt>
                <c:pt idx="37">
                  <c:v>270212.13013750676</c:v>
                </c:pt>
                <c:pt idx="38">
                  <c:v>276363.6309634698</c:v>
                </c:pt>
                <c:pt idx="39">
                  <c:v>282521.57358760515</c:v>
                </c:pt>
                <c:pt idx="40">
                  <c:v>288685.9010583449</c:v>
                </c:pt>
                <c:pt idx="41">
                  <c:v>294856.5532408647</c:v>
                </c:pt>
                <c:pt idx="42">
                  <c:v>301033.46698750864</c:v>
                </c:pt>
                <c:pt idx="43">
                  <c:v>307216.57631272345</c:v>
                </c:pt>
                <c:pt idx="44">
                  <c:v>313405.8125714691</c:v>
                </c:pt>
                <c:pt idx="45">
                  <c:v>319601.1046400967</c:v>
                </c:pt>
                <c:pt idx="46">
                  <c:v>325802.3790987107</c:v>
                </c:pt>
                <c:pt idx="47">
                  <c:v>332009.5604140715</c:v>
                </c:pt>
                <c:pt idx="48">
                  <c:v>338222.57112213544</c:v>
                </c:pt>
                <c:pt idx="49">
                  <c:v>344441.3320093828</c:v>
                </c:pt>
                <c:pt idx="50">
                  <c:v>350665.7622921345</c:v>
                </c:pt>
              </c:numCache>
            </c:numRef>
          </c:yVal>
          <c:smooth val="0"/>
        </c:ser>
        <c:axId val="66032169"/>
        <c:axId val="57418610"/>
      </c:scatterChart>
      <c:valAx>
        <c:axId val="66032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(unit)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18610"/>
        <c:crosses val="autoZero"/>
        <c:crossBetween val="midCat"/>
        <c:dispUnits/>
      </c:valAx>
      <c:valAx>
        <c:axId val="57418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>
            <c:manualLayout>
              <c:xMode val="factor"/>
              <c:yMode val="factor"/>
              <c:x val="-0.036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321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42275"/>
          <c:w val="0.2515"/>
          <c:h val="0.3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Residuals</a:t>
            </a:r>
          </a:p>
        </c:rich>
      </c:tx>
      <c:layout>
        <c:manualLayout>
          <c:xMode val="factor"/>
          <c:yMode val="factor"/>
          <c:x val="-0.004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"/>
          <c:w val="0.956"/>
          <c:h val="0.71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Formulas_and_calculations!$H$2</c:f>
              <c:strCache>
                <c:ptCount val="1"/>
                <c:pt idx="0">
                  <c:v>Residualer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Formulas_and_calculations!$J$3:$J$24</c:f>
              <c:numCache>
                <c:ptCount val="22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3</c:v>
                </c:pt>
                <c:pt idx="7">
                  <c:v>22</c:v>
                </c:pt>
                <c:pt idx="8">
                  <c:v>7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19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20</c:v>
                </c:pt>
                <c:pt idx="21">
                  <c:v>21</c:v>
                </c:pt>
              </c:numCache>
            </c:numRef>
          </c:xVal>
          <c:yVal>
            <c:numRef>
              <c:f>Formulas_and_calculations!$H$3:$H$24</c:f>
              <c:numCache>
                <c:ptCount val="22"/>
                <c:pt idx="0">
                  <c:v>422.95028870151873</c:v>
                </c:pt>
                <c:pt idx="1">
                  <c:v>813.9502887015187</c:v>
                </c:pt>
                <c:pt idx="2">
                  <c:v>244.95028870151873</c:v>
                </c:pt>
                <c:pt idx="3">
                  <c:v>901.9502887015187</c:v>
                </c:pt>
                <c:pt idx="4">
                  <c:v>520.9502887015187</c:v>
                </c:pt>
                <c:pt idx="5">
                  <c:v>235.95028870151873</c:v>
                </c:pt>
                <c:pt idx="6">
                  <c:v>133.0200374531123</c:v>
                </c:pt>
                <c:pt idx="7">
                  <c:v>1803.0200374531123</c:v>
                </c:pt>
                <c:pt idx="8">
                  <c:v>-3441.694163545617</c:v>
                </c:pt>
                <c:pt idx="9">
                  <c:v>-121.6941635456169</c:v>
                </c:pt>
                <c:pt idx="10">
                  <c:v>-7561.694163545617</c:v>
                </c:pt>
                <c:pt idx="11">
                  <c:v>-10171.694163545617</c:v>
                </c:pt>
                <c:pt idx="12">
                  <c:v>-3241.694163545617</c:v>
                </c:pt>
                <c:pt idx="13">
                  <c:v>21128.305836454383</c:v>
                </c:pt>
                <c:pt idx="14">
                  <c:v>-3427.6244147940306</c:v>
                </c:pt>
                <c:pt idx="15">
                  <c:v>-7107.624414794031</c:v>
                </c:pt>
                <c:pt idx="16">
                  <c:v>9486.445333957556</c:v>
                </c:pt>
                <c:pt idx="17">
                  <c:v>-14263.554666042444</c:v>
                </c:pt>
                <c:pt idx="18">
                  <c:v>-15933.554666042444</c:v>
                </c:pt>
                <c:pt idx="19">
                  <c:v>-3563.5546660424443</c:v>
                </c:pt>
                <c:pt idx="20">
                  <c:v>15576.445333957556</c:v>
                </c:pt>
                <c:pt idx="21">
                  <c:v>17566.445333957556</c:v>
                </c:pt>
              </c:numCache>
            </c:numRef>
          </c:yVal>
          <c:smooth val="0"/>
        </c:ser>
        <c:axId val="47005443"/>
        <c:axId val="20395804"/>
      </c:scatterChart>
      <c:valAx>
        <c:axId val="47005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Measurement no.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95804"/>
        <c:crosses val="autoZero"/>
        <c:crossBetween val="midCat"/>
        <c:dispUnits/>
      </c:valAx>
      <c:valAx>
        <c:axId val="20395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54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Residuals</a:t>
            </a:r>
          </a:p>
        </c:rich>
      </c:tx>
      <c:layout>
        <c:manualLayout>
          <c:xMode val="factor"/>
          <c:yMode val="factor"/>
          <c:x val="-0.004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975"/>
          <c:w val="0.94725"/>
          <c:h val="0.7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Formulas_and_calculations!$H$2</c:f>
              <c:strCache>
                <c:ptCount val="1"/>
                <c:pt idx="0">
                  <c:v>Residualer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Formulas_and_calculations!$A$3:$A$24</c:f>
              <c:numCache>
                <c:ptCount val="22"/>
                <c:pt idx="0">
                  <c:v>2.5E-07</c:v>
                </c:pt>
                <c:pt idx="1">
                  <c:v>2.5E-07</c:v>
                </c:pt>
                <c:pt idx="2">
                  <c:v>2.5E-07</c:v>
                </c:pt>
                <c:pt idx="3">
                  <c:v>2.5E-07</c:v>
                </c:pt>
                <c:pt idx="4">
                  <c:v>2.5E-07</c:v>
                </c:pt>
                <c:pt idx="5">
                  <c:v>2.5E-07</c:v>
                </c:pt>
                <c:pt idx="6">
                  <c:v>1.5E-06</c:v>
                </c:pt>
                <c:pt idx="7">
                  <c:v>1.5E-06</c:v>
                </c:pt>
                <c:pt idx="8">
                  <c:v>2.5E-06</c:v>
                </c:pt>
                <c:pt idx="9">
                  <c:v>2.5E-06</c:v>
                </c:pt>
                <c:pt idx="10">
                  <c:v>2.5E-06</c:v>
                </c:pt>
                <c:pt idx="11">
                  <c:v>2.5E-06</c:v>
                </c:pt>
                <c:pt idx="12">
                  <c:v>2.5E-06</c:v>
                </c:pt>
                <c:pt idx="13">
                  <c:v>2.5E-06</c:v>
                </c:pt>
                <c:pt idx="14">
                  <c:v>3.75E-06</c:v>
                </c:pt>
                <c:pt idx="15">
                  <c:v>3.75E-06</c:v>
                </c:pt>
                <c:pt idx="16">
                  <c:v>5E-06</c:v>
                </c:pt>
                <c:pt idx="17">
                  <c:v>5E-06</c:v>
                </c:pt>
                <c:pt idx="18">
                  <c:v>5E-06</c:v>
                </c:pt>
                <c:pt idx="19">
                  <c:v>5E-06</c:v>
                </c:pt>
                <c:pt idx="20">
                  <c:v>5E-06</c:v>
                </c:pt>
                <c:pt idx="21">
                  <c:v>5E-06</c:v>
                </c:pt>
              </c:numCache>
            </c:numRef>
          </c:xVal>
          <c:yVal>
            <c:numRef>
              <c:f>Formulas_and_calculations!$H$3:$H$24</c:f>
              <c:numCache>
                <c:ptCount val="22"/>
                <c:pt idx="0">
                  <c:v>422.95028870151873</c:v>
                </c:pt>
                <c:pt idx="1">
                  <c:v>813.9502887015187</c:v>
                </c:pt>
                <c:pt idx="2">
                  <c:v>244.95028870151873</c:v>
                </c:pt>
                <c:pt idx="3">
                  <c:v>901.9502887015187</c:v>
                </c:pt>
                <c:pt idx="4">
                  <c:v>520.9502887015187</c:v>
                </c:pt>
                <c:pt idx="5">
                  <c:v>235.95028870151873</c:v>
                </c:pt>
                <c:pt idx="6">
                  <c:v>133.0200374531123</c:v>
                </c:pt>
                <c:pt idx="7">
                  <c:v>1803.0200374531123</c:v>
                </c:pt>
                <c:pt idx="8">
                  <c:v>-3441.694163545617</c:v>
                </c:pt>
                <c:pt idx="9">
                  <c:v>-121.6941635456169</c:v>
                </c:pt>
                <c:pt idx="10">
                  <c:v>-7561.694163545617</c:v>
                </c:pt>
                <c:pt idx="11">
                  <c:v>-10171.694163545617</c:v>
                </c:pt>
                <c:pt idx="12">
                  <c:v>-3241.694163545617</c:v>
                </c:pt>
                <c:pt idx="13">
                  <c:v>21128.305836454383</c:v>
                </c:pt>
                <c:pt idx="14">
                  <c:v>-3427.6244147940306</c:v>
                </c:pt>
                <c:pt idx="15">
                  <c:v>-7107.624414794031</c:v>
                </c:pt>
                <c:pt idx="16">
                  <c:v>9486.445333957556</c:v>
                </c:pt>
                <c:pt idx="17">
                  <c:v>-14263.554666042444</c:v>
                </c:pt>
                <c:pt idx="18">
                  <c:v>-15933.554666042444</c:v>
                </c:pt>
                <c:pt idx="19">
                  <c:v>-3563.5546660424443</c:v>
                </c:pt>
                <c:pt idx="20">
                  <c:v>15576.445333957556</c:v>
                </c:pt>
                <c:pt idx="21">
                  <c:v>17566.445333957556</c:v>
                </c:pt>
              </c:numCache>
            </c:numRef>
          </c:yVal>
          <c:smooth val="0"/>
        </c:ser>
        <c:axId val="49344509"/>
        <c:axId val="41447398"/>
      </c:scatterChart>
      <c:valAx>
        <c:axId val="4934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>
            <c:manualLayout>
              <c:xMode val="factor"/>
              <c:yMode val="factor"/>
              <c:x val="0.00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7398"/>
        <c:crosses val="autoZero"/>
        <c:crossBetween val="midCat"/>
        <c:dispUnits/>
      </c:valAx>
      <c:valAx>
        <c:axId val="41447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445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Weighed Residuals</a:t>
            </a:r>
          </a:p>
        </c:rich>
      </c:tx>
      <c:layout>
        <c:manualLayout>
          <c:xMode val="factor"/>
          <c:yMode val="factor"/>
          <c:x val="0.038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5"/>
          <c:w val="0.95325"/>
          <c:h val="0.72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Formulas_and_calculations!$H$2</c:f>
              <c:strCache>
                <c:ptCount val="1"/>
                <c:pt idx="0">
                  <c:v>Residualer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Formulas_and_calculations!$J$3:$J$24</c:f>
              <c:numCache>
                <c:ptCount val="22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3</c:v>
                </c:pt>
                <c:pt idx="7">
                  <c:v>22</c:v>
                </c:pt>
                <c:pt idx="8">
                  <c:v>7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19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20</c:v>
                </c:pt>
                <c:pt idx="21">
                  <c:v>21</c:v>
                </c:pt>
              </c:numCache>
            </c:numRef>
          </c:xVal>
          <c:yVal>
            <c:numRef>
              <c:f>Formulas_and_calculations!$K$3:$K$24</c:f>
              <c:numCache>
                <c:ptCount val="22"/>
                <c:pt idx="0">
                  <c:v>1691801154.806075</c:v>
                </c:pt>
                <c:pt idx="1">
                  <c:v>3255801154.806075</c:v>
                </c:pt>
                <c:pt idx="2">
                  <c:v>979801154.806075</c:v>
                </c:pt>
                <c:pt idx="3">
                  <c:v>3607801154.806075</c:v>
                </c:pt>
                <c:pt idx="4">
                  <c:v>2083801154.806075</c:v>
                </c:pt>
                <c:pt idx="5">
                  <c:v>943801154.806075</c:v>
                </c:pt>
                <c:pt idx="6">
                  <c:v>88680024.96874154</c:v>
                </c:pt>
                <c:pt idx="7">
                  <c:v>1202013358.302075</c:v>
                </c:pt>
                <c:pt idx="8">
                  <c:v>-1376677665.4182467</c:v>
                </c:pt>
                <c:pt idx="9">
                  <c:v>-48677665.41824675</c:v>
                </c:pt>
                <c:pt idx="10">
                  <c:v>-3024677665.4182467</c:v>
                </c:pt>
                <c:pt idx="11">
                  <c:v>-4068677665.4182463</c:v>
                </c:pt>
                <c:pt idx="12">
                  <c:v>-1296677665.4182467</c:v>
                </c:pt>
                <c:pt idx="13">
                  <c:v>8451322334.581753</c:v>
                </c:pt>
                <c:pt idx="14">
                  <c:v>-914033177.2784082</c:v>
                </c:pt>
                <c:pt idx="15">
                  <c:v>-1895366510.6117415</c:v>
                </c:pt>
                <c:pt idx="16">
                  <c:v>1897289066.791511</c:v>
                </c:pt>
                <c:pt idx="17">
                  <c:v>-2852710933.2084885</c:v>
                </c:pt>
                <c:pt idx="18">
                  <c:v>-3186710933.2084885</c:v>
                </c:pt>
                <c:pt idx="19">
                  <c:v>-712710933.2084888</c:v>
                </c:pt>
                <c:pt idx="20">
                  <c:v>3115289066.791511</c:v>
                </c:pt>
                <c:pt idx="21">
                  <c:v>3513289066.791511</c:v>
                </c:pt>
              </c:numCache>
            </c:numRef>
          </c:yVal>
          <c:smooth val="0"/>
        </c:ser>
        <c:axId val="37482263"/>
        <c:axId val="1796048"/>
      </c:scatterChart>
      <c:valAx>
        <c:axId val="3748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Measurement no.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6048"/>
        <c:crosses val="autoZero"/>
        <c:crossBetween val="midCat"/>
        <c:dispUnits/>
      </c:valAx>
      <c:valAx>
        <c:axId val="1796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22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Weighed Residuals</a:t>
            </a:r>
          </a:p>
        </c:rich>
      </c:tx>
      <c:layout>
        <c:manualLayout>
          <c:xMode val="factor"/>
          <c:yMode val="factor"/>
          <c:x val="0.056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59"/>
          <c:w val="0.94975"/>
          <c:h val="0.71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Formulas_and_calculations!$K$2</c:f>
              <c:strCache>
                <c:ptCount val="1"/>
                <c:pt idx="0">
                  <c:v>ResV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Formulas_and_calculations!$A$3:$A$24</c:f>
              <c:numCache>
                <c:ptCount val="22"/>
                <c:pt idx="0">
                  <c:v>2.5E-07</c:v>
                </c:pt>
                <c:pt idx="1">
                  <c:v>2.5E-07</c:v>
                </c:pt>
                <c:pt idx="2">
                  <c:v>2.5E-07</c:v>
                </c:pt>
                <c:pt idx="3">
                  <c:v>2.5E-07</c:v>
                </c:pt>
                <c:pt idx="4">
                  <c:v>2.5E-07</c:v>
                </c:pt>
                <c:pt idx="5">
                  <c:v>2.5E-07</c:v>
                </c:pt>
                <c:pt idx="6">
                  <c:v>1.5E-06</c:v>
                </c:pt>
                <c:pt idx="7">
                  <c:v>1.5E-06</c:v>
                </c:pt>
                <c:pt idx="8">
                  <c:v>2.5E-06</c:v>
                </c:pt>
                <c:pt idx="9">
                  <c:v>2.5E-06</c:v>
                </c:pt>
                <c:pt idx="10">
                  <c:v>2.5E-06</c:v>
                </c:pt>
                <c:pt idx="11">
                  <c:v>2.5E-06</c:v>
                </c:pt>
                <c:pt idx="12">
                  <c:v>2.5E-06</c:v>
                </c:pt>
                <c:pt idx="13">
                  <c:v>2.5E-06</c:v>
                </c:pt>
                <c:pt idx="14">
                  <c:v>3.75E-06</c:v>
                </c:pt>
                <c:pt idx="15">
                  <c:v>3.75E-06</c:v>
                </c:pt>
                <c:pt idx="16">
                  <c:v>5E-06</c:v>
                </c:pt>
                <c:pt idx="17">
                  <c:v>5E-06</c:v>
                </c:pt>
                <c:pt idx="18">
                  <c:v>5E-06</c:v>
                </c:pt>
                <c:pt idx="19">
                  <c:v>5E-06</c:v>
                </c:pt>
                <c:pt idx="20">
                  <c:v>5E-06</c:v>
                </c:pt>
                <c:pt idx="21">
                  <c:v>5E-06</c:v>
                </c:pt>
              </c:numCache>
            </c:numRef>
          </c:xVal>
          <c:yVal>
            <c:numRef>
              <c:f>Formulas_and_calculations!$K$3:$K$24</c:f>
              <c:numCache>
                <c:ptCount val="22"/>
                <c:pt idx="0">
                  <c:v>1691801154.806075</c:v>
                </c:pt>
                <c:pt idx="1">
                  <c:v>3255801154.806075</c:v>
                </c:pt>
                <c:pt idx="2">
                  <c:v>979801154.806075</c:v>
                </c:pt>
                <c:pt idx="3">
                  <c:v>3607801154.806075</c:v>
                </c:pt>
                <c:pt idx="4">
                  <c:v>2083801154.806075</c:v>
                </c:pt>
                <c:pt idx="5">
                  <c:v>943801154.806075</c:v>
                </c:pt>
                <c:pt idx="6">
                  <c:v>88680024.96874154</c:v>
                </c:pt>
                <c:pt idx="7">
                  <c:v>1202013358.302075</c:v>
                </c:pt>
                <c:pt idx="8">
                  <c:v>-1376677665.4182467</c:v>
                </c:pt>
                <c:pt idx="9">
                  <c:v>-48677665.41824675</c:v>
                </c:pt>
                <c:pt idx="10">
                  <c:v>-3024677665.4182467</c:v>
                </c:pt>
                <c:pt idx="11">
                  <c:v>-4068677665.4182463</c:v>
                </c:pt>
                <c:pt idx="12">
                  <c:v>-1296677665.4182467</c:v>
                </c:pt>
                <c:pt idx="13">
                  <c:v>8451322334.581753</c:v>
                </c:pt>
                <c:pt idx="14">
                  <c:v>-914033177.2784082</c:v>
                </c:pt>
                <c:pt idx="15">
                  <c:v>-1895366510.6117415</c:v>
                </c:pt>
                <c:pt idx="16">
                  <c:v>1897289066.791511</c:v>
                </c:pt>
                <c:pt idx="17">
                  <c:v>-2852710933.2084885</c:v>
                </c:pt>
                <c:pt idx="18">
                  <c:v>-3186710933.2084885</c:v>
                </c:pt>
                <c:pt idx="19">
                  <c:v>-712710933.2084888</c:v>
                </c:pt>
                <c:pt idx="20">
                  <c:v>3115289066.791511</c:v>
                </c:pt>
                <c:pt idx="21">
                  <c:v>3513289066.791511</c:v>
                </c:pt>
              </c:numCache>
            </c:numRef>
          </c:yVal>
          <c:smooth val="0"/>
        </c:ser>
        <c:axId val="16164433"/>
        <c:axId val="11262170"/>
      </c:scatterChart>
      <c:valAx>
        <c:axId val="16164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62170"/>
        <c:crosses val="autoZero"/>
        <c:crossBetween val="midCat"/>
        <c:dispUnits/>
      </c:valAx>
      <c:valAx>
        <c:axId val="11262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644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Kontrol af kalibreringskurve</a:t>
            </a:r>
          </a:p>
        </c:rich>
      </c:tx>
      <c:layout>
        <c:manualLayout>
          <c:xMode val="factor"/>
          <c:yMode val="factor"/>
          <c:x val="-0.01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0025"/>
          <c:w val="0.90925"/>
          <c:h val="0.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'Control of Calibration'!$A$77</c:f>
              <c:strCache>
                <c:ptCount val="1"/>
                <c:pt idx="0">
                  <c:v>Kontrol af Kalibrering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'Control of Calibration'!$A$79:$A$87</c:f>
              <c:numCache/>
            </c:numRef>
          </c:xVal>
          <c:yVal>
            <c:numRef>
              <c:f>'Control of Calibration'!$C$79:$C$87</c:f>
              <c:numCache/>
            </c:numRef>
          </c:yVal>
          <c:smooth val="0"/>
        </c:ser>
        <c:ser>
          <c:idx val="1"/>
          <c:order val="1"/>
          <c:tx>
            <c:strRef>
              <c:f>'Control of Calibration'!$A$107</c:f>
              <c:strCache>
                <c:ptCount val="1"/>
                <c:pt idx="0">
                  <c:v>Meandata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solidFill>
                  <a:srgbClr val="DD080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'Control of Calibration'!$C$109:$C$111</c:f>
                <c:numCach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'Control of Calibration'!$C$109:$C$111</c:f>
                <c:numCach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'Control of Calibration'!$A$109:$A$111</c:f>
              <c:numCache/>
            </c:numRef>
          </c:xVal>
          <c:yVal>
            <c:numRef>
              <c:f>'Control of Calibration'!$B$109:$B$111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'Control of Calibration'!$A$79:$A$87</c:f>
              <c:numCache/>
            </c:numRef>
          </c:xVal>
          <c:yVal>
            <c:numRef>
              <c:f>'Control of Calibration'!$J$79:$J$87</c:f>
              <c:numCache/>
            </c:numRef>
          </c:yVal>
          <c:smooth val="0"/>
        </c:ser>
        <c:axId val="34250667"/>
        <c:axId val="39820548"/>
      </c:scatterChart>
      <c:valAx>
        <c:axId val="3425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20548"/>
        <c:crosses val="autoZero"/>
        <c:crossBetween val="midCat"/>
        <c:dispUnits/>
      </c:valAx>
      <c:valAx>
        <c:axId val="39820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06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95250</xdr:rowOff>
    </xdr:from>
    <xdr:to>
      <xdr:col>13</xdr:col>
      <xdr:colOff>342900</xdr:colOff>
      <xdr:row>70</xdr:row>
      <xdr:rowOff>133350</xdr:rowOff>
    </xdr:to>
    <xdr:graphicFrame>
      <xdr:nvGraphicFramePr>
        <xdr:cNvPr id="1" name="Chart 1"/>
        <xdr:cNvGraphicFramePr/>
      </xdr:nvGraphicFramePr>
      <xdr:xfrm>
        <a:off x="19050" y="4457700"/>
        <a:ext cx="1020127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8</xdr:col>
      <xdr:colOff>533400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0" y="152400"/>
        <a:ext cx="52578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276225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0" y="323850"/>
        <a:ext cx="50006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18</xdr:row>
      <xdr:rowOff>9525</xdr:rowOff>
    </xdr:from>
    <xdr:to>
      <xdr:col>8</xdr:col>
      <xdr:colOff>276225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9525" y="2924175"/>
        <a:ext cx="49911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</xdr:row>
      <xdr:rowOff>152400</xdr:rowOff>
    </xdr:from>
    <xdr:to>
      <xdr:col>17</xdr:col>
      <xdr:colOff>285750</xdr:colOff>
      <xdr:row>17</xdr:row>
      <xdr:rowOff>9525</xdr:rowOff>
    </xdr:to>
    <xdr:graphicFrame>
      <xdr:nvGraphicFramePr>
        <xdr:cNvPr id="3" name="Chart 3"/>
        <xdr:cNvGraphicFramePr/>
      </xdr:nvGraphicFramePr>
      <xdr:xfrm>
        <a:off x="5314950" y="314325"/>
        <a:ext cx="501015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18</xdr:row>
      <xdr:rowOff>9525</xdr:rowOff>
    </xdr:from>
    <xdr:to>
      <xdr:col>17</xdr:col>
      <xdr:colOff>285750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5314950" y="2924175"/>
        <a:ext cx="5010150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22</xdr:row>
      <xdr:rowOff>28575</xdr:rowOff>
    </xdr:from>
    <xdr:to>
      <xdr:col>10</xdr:col>
      <xdr:colOff>571500</xdr:colOff>
      <xdr:row>56</xdr:row>
      <xdr:rowOff>66675</xdr:rowOff>
    </xdr:to>
    <xdr:graphicFrame>
      <xdr:nvGraphicFramePr>
        <xdr:cNvPr id="1" name="Chart 4"/>
        <xdr:cNvGraphicFramePr/>
      </xdr:nvGraphicFramePr>
      <xdr:xfrm>
        <a:off x="123825" y="3962400"/>
        <a:ext cx="76295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ideringRandom2011Udvidet17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and_report"/>
      <sheetName val="Plot_with_confidenc intervals"/>
      <sheetName val="Residual plots"/>
      <sheetName val="Measured data"/>
      <sheetName val="InterDay"/>
      <sheetName val="Control of Calibration"/>
      <sheetName val="Formulas_and_calculations"/>
    </sheetNames>
    <sheetDataSet>
      <sheetData sheetId="0">
        <row r="18">
          <cell r="B18">
            <v>-2.755562068965446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03"/>
  <sheetViews>
    <sheetView tabSelected="1" zoomScale="150" zoomScaleNormal="150" zoomScalePageLayoutView="0" workbookViewId="0" topLeftCell="A1">
      <selection activeCell="C22" sqref="C22:E22"/>
    </sheetView>
  </sheetViews>
  <sheetFormatPr defaultColWidth="8.8515625" defaultRowHeight="12.75"/>
  <cols>
    <col min="1" max="1" width="17.8515625" style="0" customWidth="1"/>
    <col min="2" max="2" width="11.28125" style="0" customWidth="1"/>
    <col min="3" max="3" width="10.28125" style="0" customWidth="1"/>
    <col min="4" max="4" width="9.7109375" style="0" customWidth="1"/>
    <col min="5" max="7" width="8.8515625" style="0" customWidth="1"/>
    <col min="8" max="8" width="12.421875" style="0" bestFit="1" customWidth="1"/>
    <col min="9" max="9" width="13.140625" style="0" bestFit="1" customWidth="1"/>
    <col min="10" max="10" width="12.421875" style="0" bestFit="1" customWidth="1"/>
    <col min="11" max="11" width="13.140625" style="0" bestFit="1" customWidth="1"/>
    <col min="12" max="12" width="12.421875" style="0" bestFit="1" customWidth="1"/>
  </cols>
  <sheetData>
    <row r="1" spans="1:13" ht="21.75" customHeight="1">
      <c r="A1" s="1" t="s">
        <v>0</v>
      </c>
      <c r="B1" s="2" t="s">
        <v>90</v>
      </c>
      <c r="C1" s="2" t="s">
        <v>34</v>
      </c>
      <c r="D1" s="2"/>
      <c r="E1" s="2"/>
      <c r="F1" s="2"/>
      <c r="G1" s="2"/>
      <c r="H1" s="2"/>
      <c r="I1" s="2"/>
      <c r="K1" s="115" t="s">
        <v>94</v>
      </c>
      <c r="L1" s="116"/>
      <c r="M1" s="117"/>
    </row>
    <row r="2" spans="1:13" ht="15" customHeight="1">
      <c r="A2" s="20"/>
      <c r="B2" s="18" t="s">
        <v>91</v>
      </c>
      <c r="C2" s="18" t="s">
        <v>92</v>
      </c>
      <c r="D2" s="19" t="s">
        <v>93</v>
      </c>
      <c r="E2" s="4"/>
      <c r="F2" s="4"/>
      <c r="G2" s="4"/>
      <c r="H2" s="4"/>
      <c r="I2" s="5"/>
      <c r="K2" s="18" t="s">
        <v>95</v>
      </c>
      <c r="L2" s="18" t="s">
        <v>44</v>
      </c>
      <c r="M2" s="18" t="s">
        <v>45</v>
      </c>
    </row>
    <row r="3" spans="1:13" ht="12.75">
      <c r="A3" s="2" t="s">
        <v>97</v>
      </c>
      <c r="B3" s="3">
        <v>6</v>
      </c>
      <c r="C3" s="21">
        <f>0.00000025</f>
        <v>2.5E-07</v>
      </c>
      <c r="D3" s="22">
        <v>15045.67</v>
      </c>
      <c r="E3" s="23">
        <v>15436.67</v>
      </c>
      <c r="F3" s="57">
        <v>14867.67</v>
      </c>
      <c r="G3" s="23">
        <v>15524.67</v>
      </c>
      <c r="H3" s="23">
        <v>15143.67</v>
      </c>
      <c r="I3" s="24">
        <v>14858.67</v>
      </c>
      <c r="K3" s="47">
        <f>AVERAGE(D3:I3)</f>
        <v>15146.17</v>
      </c>
      <c r="L3" s="47">
        <f>STDEV(D3:I3)</f>
        <v>282.1267445670474</v>
      </c>
      <c r="M3" s="48">
        <f>L3/K3*100</f>
        <v>1.8626936352031398</v>
      </c>
    </row>
    <row r="4" spans="1:9" ht="12.75">
      <c r="A4" s="2"/>
      <c r="B4" s="107" t="s">
        <v>96</v>
      </c>
      <c r="C4" s="109"/>
      <c r="D4" s="22">
        <v>5</v>
      </c>
      <c r="E4" s="23">
        <v>6</v>
      </c>
      <c r="F4" s="58">
        <v>9</v>
      </c>
      <c r="G4" s="25">
        <v>13</v>
      </c>
      <c r="H4" s="25">
        <v>17</v>
      </c>
      <c r="I4" s="26">
        <v>18</v>
      </c>
    </row>
    <row r="5" spans="1:9" ht="12.75">
      <c r="A5" s="2" t="s">
        <v>98</v>
      </c>
      <c r="B5" s="3">
        <v>2</v>
      </c>
      <c r="C5" s="21">
        <f>0.0000015</f>
        <v>1.5E-06</v>
      </c>
      <c r="D5" s="27">
        <v>94561.67</v>
      </c>
      <c r="E5" s="28">
        <v>96231.67</v>
      </c>
      <c r="F5" s="6"/>
      <c r="G5" s="6"/>
      <c r="H5" s="6"/>
      <c r="I5" s="6"/>
    </row>
    <row r="6" spans="1:9" ht="12.75">
      <c r="A6" s="2"/>
      <c r="B6" s="107" t="str">
        <f>B4</f>
        <v>Measurement no.</v>
      </c>
      <c r="C6" s="109"/>
      <c r="D6" s="22">
        <v>3</v>
      </c>
      <c r="E6" s="24">
        <v>22</v>
      </c>
      <c r="F6" s="6"/>
      <c r="G6" s="6"/>
      <c r="H6" s="6"/>
      <c r="I6" s="6"/>
    </row>
    <row r="7" spans="1:13" ht="12.75">
      <c r="A7" s="2" t="s">
        <v>99</v>
      </c>
      <c r="B7" s="3">
        <v>6</v>
      </c>
      <c r="C7" s="21">
        <f>0.0000025</f>
        <v>2.5E-06</v>
      </c>
      <c r="D7" s="59">
        <v>154831.7</v>
      </c>
      <c r="E7" s="59">
        <v>158151.7</v>
      </c>
      <c r="F7" s="59">
        <v>150711.7</v>
      </c>
      <c r="G7" s="59">
        <v>148101.7</v>
      </c>
      <c r="H7" s="59">
        <v>155031.7</v>
      </c>
      <c r="I7" s="60">
        <v>179401.7</v>
      </c>
      <c r="K7" s="47">
        <f>AVERAGE(D7:I7)</f>
        <v>157705.03333333333</v>
      </c>
      <c r="L7" s="47">
        <f>STDEV(D7:I7)</f>
        <v>11202.484843402675</v>
      </c>
      <c r="M7" s="48">
        <f>L7/K7*100</f>
        <v>7.103441536786298</v>
      </c>
    </row>
    <row r="8" spans="1:9" ht="12.75">
      <c r="A8" s="2"/>
      <c r="B8" s="107" t="str">
        <f>B6</f>
        <v>Measurement no.</v>
      </c>
      <c r="C8" s="109"/>
      <c r="D8" s="27">
        <v>7</v>
      </c>
      <c r="E8" s="29">
        <v>12</v>
      </c>
      <c r="F8" s="30">
        <v>14</v>
      </c>
      <c r="G8" s="30">
        <v>15</v>
      </c>
      <c r="H8" s="30">
        <v>16</v>
      </c>
      <c r="I8" s="61">
        <v>19</v>
      </c>
    </row>
    <row r="9" spans="1:9" ht="12.75">
      <c r="A9" s="2" t="s">
        <v>100</v>
      </c>
      <c r="B9" s="3">
        <v>2</v>
      </c>
      <c r="C9" s="21">
        <f>0.00000375</f>
        <v>3.75E-06</v>
      </c>
      <c r="D9" s="62">
        <v>234651.7</v>
      </c>
      <c r="E9" s="63">
        <v>230971.7</v>
      </c>
      <c r="F9" s="6"/>
      <c r="G9" s="6"/>
      <c r="H9" s="6"/>
      <c r="I9" s="6"/>
    </row>
    <row r="10" spans="1:9" ht="12.75">
      <c r="A10" s="2"/>
      <c r="B10" s="107" t="str">
        <f>B8</f>
        <v>Measurement no.</v>
      </c>
      <c r="C10" s="109"/>
      <c r="D10" s="27">
        <v>2</v>
      </c>
      <c r="E10" s="29">
        <v>4</v>
      </c>
      <c r="F10" s="6"/>
      <c r="G10" s="6"/>
      <c r="H10" s="6"/>
      <c r="I10" s="6"/>
    </row>
    <row r="11" spans="1:13" ht="12.75">
      <c r="A11" s="2" t="s">
        <v>101</v>
      </c>
      <c r="B11" s="3">
        <v>6</v>
      </c>
      <c r="C11" s="21">
        <f>0.000005</f>
        <v>5E-06</v>
      </c>
      <c r="D11" s="59">
        <v>327371.7</v>
      </c>
      <c r="E11" s="59">
        <v>303621.7</v>
      </c>
      <c r="F11" s="59">
        <v>301951.7</v>
      </c>
      <c r="G11" s="59">
        <v>314321.7</v>
      </c>
      <c r="H11" s="59">
        <v>333461.7</v>
      </c>
      <c r="I11" s="59">
        <v>335451.7</v>
      </c>
      <c r="K11" s="47">
        <f>AVERAGE(D11:I11)</f>
        <v>319363.36666666664</v>
      </c>
      <c r="L11" s="47">
        <f>STDEV(D11:I11)</f>
        <v>14819.686119033246</v>
      </c>
      <c r="M11" s="48">
        <f>L11/K11*100</f>
        <v>4.640383859211126</v>
      </c>
    </row>
    <row r="12" spans="1:9" ht="12.75">
      <c r="A12" s="2"/>
      <c r="B12" s="107" t="str">
        <f>B10</f>
        <v>Measurement no.</v>
      </c>
      <c r="C12" s="109"/>
      <c r="D12" s="21">
        <v>1</v>
      </c>
      <c r="E12" s="21">
        <v>8</v>
      </c>
      <c r="F12" s="21">
        <v>10</v>
      </c>
      <c r="G12" s="21">
        <v>11</v>
      </c>
      <c r="H12" s="21">
        <v>20</v>
      </c>
      <c r="I12" s="21">
        <v>21</v>
      </c>
    </row>
    <row r="13" spans="1:9" ht="12.75" customHeight="1">
      <c r="A13" s="7" t="s">
        <v>102</v>
      </c>
      <c r="B13" s="8">
        <f>SUM(B3:B11)</f>
        <v>22</v>
      </c>
      <c r="C13" s="32" t="s">
        <v>112</v>
      </c>
      <c r="D13" s="32" t="s">
        <v>42</v>
      </c>
      <c r="E13" s="8"/>
      <c r="F13" s="8"/>
      <c r="G13" s="8"/>
      <c r="H13" s="8"/>
      <c r="I13" s="8"/>
    </row>
    <row r="14" spans="1:9" ht="12.75" customHeight="1">
      <c r="A14" s="7"/>
      <c r="B14" s="8"/>
      <c r="C14" s="31"/>
      <c r="D14" s="32"/>
      <c r="E14" s="8"/>
      <c r="F14" s="8"/>
      <c r="G14" s="8"/>
      <c r="H14" s="8"/>
      <c r="I14" s="8"/>
    </row>
    <row r="15" spans="1:9" ht="13.5" customHeight="1">
      <c r="A15" s="7"/>
      <c r="B15" s="8"/>
      <c r="C15" s="9"/>
      <c r="D15" s="118" t="s">
        <v>103</v>
      </c>
      <c r="E15" s="119"/>
      <c r="F15" s="8"/>
      <c r="G15" s="8"/>
      <c r="H15" s="8"/>
      <c r="I15" s="8"/>
    </row>
    <row r="16" spans="1:9" ht="12.75">
      <c r="A16" s="2"/>
      <c r="B16" s="2"/>
      <c r="C16" s="13" t="s">
        <v>104</v>
      </c>
      <c r="D16" s="10">
        <v>0.95</v>
      </c>
      <c r="E16" s="10">
        <v>0.99</v>
      </c>
      <c r="F16" s="2"/>
      <c r="G16" s="51" t="s">
        <v>110</v>
      </c>
      <c r="H16" s="8"/>
      <c r="I16" s="8"/>
    </row>
    <row r="17" spans="1:12" ht="12.75">
      <c r="A17" s="13" t="s">
        <v>105</v>
      </c>
      <c r="B17" s="16">
        <f>Formulas_and_calculations!F27</f>
        <v>63844744200.998726</v>
      </c>
      <c r="C17" s="14">
        <f>SQRT(Ssquare/S_xx)</f>
        <v>1527497049.1444438</v>
      </c>
      <c r="D17" s="11">
        <f>$C17*tval_95</f>
        <v>3701303364.3897247</v>
      </c>
      <c r="E17" s="11">
        <f>$C17*tval_99</f>
        <v>4816810008.785124</v>
      </c>
      <c r="F17" s="2"/>
      <c r="G17" s="49" t="s">
        <v>7</v>
      </c>
      <c r="H17" s="49" t="s">
        <v>51</v>
      </c>
      <c r="I17" s="112" t="s">
        <v>49</v>
      </c>
      <c r="J17" s="113"/>
      <c r="K17" s="114" t="s">
        <v>50</v>
      </c>
      <c r="L17" s="113"/>
    </row>
    <row r="18" spans="1:12" ht="12.75">
      <c r="A18" s="104" t="s">
        <v>122</v>
      </c>
      <c r="B18" s="16">
        <f>Formulas_and_calculations!F28</f>
        <v>-1338.4663389511988</v>
      </c>
      <c r="C18" s="15">
        <f>sqrtsquare*SQRT(Sumxsquare/(S_xx*Ndata))</f>
        <v>4835.855735824129</v>
      </c>
      <c r="D18" s="12">
        <f>$C18*tval_95</f>
        <v>11717.842017917133</v>
      </c>
      <c r="E18" s="12">
        <f>$C18*tval_99</f>
        <v>15249.390054406538</v>
      </c>
      <c r="F18" s="2"/>
      <c r="G18" s="49">
        <f>Formulas_and_calculations!A46</f>
        <v>0</v>
      </c>
      <c r="H18" s="49">
        <f>Formulas_and_calculations!B46</f>
        <v>-1338.4663389511988</v>
      </c>
      <c r="I18" s="49">
        <f>Formulas_and_calculations!C46</f>
        <v>-26773.475531286465</v>
      </c>
      <c r="J18" s="49">
        <f>Formulas_and_calculations!D46</f>
        <v>24096.542853384068</v>
      </c>
      <c r="K18" s="49">
        <f>Formulas_and_calculations!E46</f>
        <v>-34439.132452922284</v>
      </c>
      <c r="L18" s="49">
        <f>Formulas_and_calculations!F46</f>
        <v>31762.199775019886</v>
      </c>
    </row>
    <row r="19" spans="1:12" ht="12.75">
      <c r="A19" s="13" t="s">
        <v>3</v>
      </c>
      <c r="B19" s="17">
        <f>S_yyestd/S_yy</f>
        <v>0.9828046080813346</v>
      </c>
      <c r="C19" s="2"/>
      <c r="D19" s="2"/>
      <c r="E19" s="2"/>
      <c r="F19" s="2"/>
      <c r="G19" s="33"/>
      <c r="H19" s="33"/>
      <c r="I19" s="33"/>
      <c r="J19" s="33"/>
      <c r="K19" s="33"/>
      <c r="L19" s="33"/>
    </row>
    <row r="20" spans="1:7" ht="12.75">
      <c r="A20" s="13" t="s">
        <v>4</v>
      </c>
      <c r="B20" s="17">
        <f>SQRT(B19)</f>
        <v>0.9913650226235212</v>
      </c>
      <c r="C20" s="2"/>
      <c r="D20" s="2"/>
      <c r="E20" s="2"/>
      <c r="F20" s="2"/>
      <c r="G20" s="51" t="s">
        <v>111</v>
      </c>
    </row>
    <row r="21" spans="1:12" ht="12.75">
      <c r="A21" s="110" t="s">
        <v>106</v>
      </c>
      <c r="B21" s="111"/>
      <c r="C21" s="107" t="s">
        <v>109</v>
      </c>
      <c r="D21" s="108"/>
      <c r="E21" s="109"/>
      <c r="F21" s="2"/>
      <c r="G21" s="49" t="s">
        <v>8</v>
      </c>
      <c r="H21" s="49" t="s">
        <v>52</v>
      </c>
      <c r="I21" s="112" t="s">
        <v>49</v>
      </c>
      <c r="J21" s="113"/>
      <c r="K21" s="114" t="s">
        <v>50</v>
      </c>
      <c r="L21" s="113"/>
    </row>
    <row r="22" spans="1:12" ht="12.75">
      <c r="A22" s="13" t="s">
        <v>5</v>
      </c>
      <c r="B22" s="16">
        <f>Formulas_and_calculations!F36</f>
        <v>3282.9876198654374</v>
      </c>
      <c r="C22" s="107">
        <f>FDIST($B22,1,dfree-2)</f>
        <v>7.92502897575826E-22</v>
      </c>
      <c r="D22" s="108"/>
      <c r="E22" s="109"/>
      <c r="F22" s="2"/>
      <c r="G22" s="49">
        <f>Formulas_and_calculations!A49</f>
        <v>0</v>
      </c>
      <c r="H22" s="49">
        <f>Formulas_and_calculations!B49</f>
        <v>2.0964393478300773E-08</v>
      </c>
      <c r="I22" s="49">
        <f>Formulas_and_calculations!C49</f>
        <v>-2.02245584548681E-07</v>
      </c>
      <c r="J22" s="49">
        <f>Formulas_and_calculations!D49</f>
        <v>2.4417437150528255E-07</v>
      </c>
      <c r="K22" s="49">
        <f>Formulas_and_calculations!E49</f>
        <v>-2.695170803087977E-07</v>
      </c>
      <c r="L22" s="49">
        <f>Formulas_and_calculations!F49</f>
        <v>2.4417437150528255E-07</v>
      </c>
    </row>
    <row r="23" spans="1:12" ht="12.75">
      <c r="A23" s="107" t="s">
        <v>126</v>
      </c>
      <c r="B23" s="108"/>
      <c r="C23" s="108"/>
      <c r="D23" s="108"/>
      <c r="E23" s="109"/>
      <c r="F23" s="2"/>
      <c r="G23" s="64"/>
      <c r="H23" s="64"/>
      <c r="I23" s="64"/>
      <c r="J23" s="64"/>
      <c r="K23" s="64"/>
      <c r="L23" s="64"/>
    </row>
    <row r="24" spans="1:9" ht="12.75">
      <c r="A24" s="72" t="s">
        <v>107</v>
      </c>
      <c r="B24" s="55" t="s">
        <v>105</v>
      </c>
      <c r="C24" s="56"/>
      <c r="D24" s="107" t="s">
        <v>108</v>
      </c>
      <c r="E24" s="109"/>
      <c r="F24" s="2" t="s">
        <v>56</v>
      </c>
      <c r="G24" s="2"/>
      <c r="H24" s="2"/>
      <c r="I24" s="2"/>
    </row>
    <row r="25" spans="1:9" ht="12.75">
      <c r="A25" s="11" t="s">
        <v>53</v>
      </c>
      <c r="B25" s="67">
        <f>10*sqrtsquare/slope</f>
        <v>1.4893106425210404E-06</v>
      </c>
      <c r="C25" s="73" t="str">
        <f>koncentrationsenhed</f>
        <v>Conc. Unit</v>
      </c>
      <c r="D25" s="67">
        <f>H25*C3*L3/K3</f>
        <v>4.6567340880078494E-08</v>
      </c>
      <c r="E25" s="73" t="str">
        <f>koncentrationsenhed</f>
        <v>Conc. Unit</v>
      </c>
      <c r="F25" s="105" t="s">
        <v>113</v>
      </c>
      <c r="G25" s="106"/>
      <c r="H25" s="8">
        <v>10</v>
      </c>
      <c r="I25" s="51" t="s">
        <v>114</v>
      </c>
    </row>
    <row r="26" spans="1:9" ht="12.75">
      <c r="A26" s="54" t="s">
        <v>54</v>
      </c>
      <c r="B26" s="68">
        <f>3*sqrtsquare/slope</f>
        <v>4.467931927563121E-07</v>
      </c>
      <c r="C26" s="74" t="str">
        <f>koncentrationsenhed</f>
        <v>Conc. Unit</v>
      </c>
      <c r="D26" s="68">
        <f>H26*C3*L3/K3</f>
        <v>1.53672224904259E-08</v>
      </c>
      <c r="E26" s="74" t="str">
        <f>koncentrationsenhed</f>
        <v>Conc. Unit</v>
      </c>
      <c r="F26" s="105" t="s">
        <v>113</v>
      </c>
      <c r="G26" s="106"/>
      <c r="H26" s="8">
        <v>3.3</v>
      </c>
      <c r="I26" s="51" t="s">
        <v>114</v>
      </c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7:9" ht="12.75">
      <c r="G103" s="2"/>
      <c r="H103" s="2"/>
      <c r="I103" s="2"/>
    </row>
  </sheetData>
  <sheetProtection/>
  <mergeCells count="18">
    <mergeCell ref="B12:C12"/>
    <mergeCell ref="B4:C4"/>
    <mergeCell ref="B6:C6"/>
    <mergeCell ref="B8:C8"/>
    <mergeCell ref="B10:C10"/>
    <mergeCell ref="D15:E15"/>
    <mergeCell ref="K21:L21"/>
    <mergeCell ref="F25:G25"/>
    <mergeCell ref="D24:E24"/>
    <mergeCell ref="K1:M1"/>
    <mergeCell ref="I17:J17"/>
    <mergeCell ref="K17:L17"/>
    <mergeCell ref="F26:G26"/>
    <mergeCell ref="A23:E23"/>
    <mergeCell ref="A21:B21"/>
    <mergeCell ref="C21:E21"/>
    <mergeCell ref="C22:E22"/>
    <mergeCell ref="I21:J21"/>
  </mergeCells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portrait" paperSize="9" scale="62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B13">
      <selection activeCell="H36" sqref="H36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"/>
  <sheetViews>
    <sheetView zoomScalePageLayoutView="0" workbookViewId="0" topLeftCell="A1">
      <selection activeCell="N37" sqref="N37"/>
    </sheetView>
  </sheetViews>
  <sheetFormatPr defaultColWidth="8.8515625" defaultRowHeight="12.75"/>
  <sheetData>
    <row r="1" spans="1:10" ht="12.75">
      <c r="A1" s="2" t="s">
        <v>116</v>
      </c>
      <c r="J1" s="2" t="s">
        <v>115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33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9.7109375" style="0" customWidth="1"/>
    <col min="3" max="3" width="12.421875" style="0" customWidth="1"/>
    <col min="4" max="4" width="8.28125" style="0" customWidth="1"/>
    <col min="5" max="5" width="8.8515625" style="0" customWidth="1"/>
    <col min="6" max="9" width="12.421875" style="0" bestFit="1" customWidth="1"/>
  </cols>
  <sheetData>
    <row r="1" spans="1:9" ht="12.75">
      <c r="A1" s="2" t="s">
        <v>127</v>
      </c>
      <c r="B1" s="13" t="s">
        <v>93</v>
      </c>
      <c r="C1" s="3" t="s">
        <v>95</v>
      </c>
      <c r="D1" s="3" t="s">
        <v>91</v>
      </c>
      <c r="E1" s="49" t="s">
        <v>52</v>
      </c>
      <c r="F1" s="120" t="s">
        <v>128</v>
      </c>
      <c r="G1" s="121"/>
      <c r="H1" s="120" t="s">
        <v>129</v>
      </c>
      <c r="I1" s="121"/>
    </row>
    <row r="2" spans="1:9" ht="12.75">
      <c r="A2">
        <v>1</v>
      </c>
      <c r="B2" s="52">
        <f aca="true" t="shared" si="0" ref="B2:B7">3.27*10^5</f>
        <v>327000</v>
      </c>
      <c r="C2" s="47">
        <f>SUM(B2:B7)/COUNT(B2:B7)</f>
        <v>327000</v>
      </c>
      <c r="D2" s="47">
        <f>COUNT(B2:B7)</f>
        <v>6</v>
      </c>
      <c r="E2" s="66">
        <f>($B2-intercept)/slope</f>
        <v>5.142764223555539E-06</v>
      </c>
      <c r="F2" s="50">
        <f>$E2+(($E2-xmean)*gval_95-ABS((tval_95*svalue/slope))*SQRT(($E2-xmean)^2/S_xx+(Ndata+$D2)*(1-gval_95)/Ndata/$D2))/(1-gval_95)</f>
        <v>4.920252874137153E-06</v>
      </c>
      <c r="G2" s="50">
        <f>$E2+(($E2-xmean)*gval_95+ABS((tval_95*svalue/slope))*SQRT(($E2-xmean)^2/S_xx+(Ndata+$D2)*(1-gval_95)/Ndata/$D2))/(1-gval_95)</f>
        <v>5.3652755729739244E-06</v>
      </c>
      <c r="H2" s="50">
        <f>$E2+(($E2-xmean)*gval_99-ABS((tval_99*svalue/slope))*SQRT(($E2-xmean)^2/S_xx+(Ndata+$D2)*(1-gval_99)/Ndata/$D2))/(1-gval_99)</f>
        <v>4.853191932546239E-06</v>
      </c>
      <c r="I2" s="50">
        <f>$E2+(($E2-xmean)*gval_99+ABS((tval_99*svalue/slope))*SQRT(($E2-xmean)^2/S_xx+(Ndata+$D2)*(1-gval_99)/Ndata/$D2))/(1-gval_99)</f>
        <v>5.432336514564839E-06</v>
      </c>
    </row>
    <row r="3" spans="2:9" ht="12.75">
      <c r="B3" s="52">
        <f t="shared" si="0"/>
        <v>327000</v>
      </c>
      <c r="F3">
        <f>F2-$E2</f>
        <v>-2.2251134941838554E-07</v>
      </c>
      <c r="G3">
        <f>G2-$E2</f>
        <v>2.2251134941838554E-07</v>
      </c>
      <c r="H3">
        <f>H2-$E2</f>
        <v>-2.895722910092997E-07</v>
      </c>
      <c r="I3">
        <f>I2-$E2</f>
        <v>2.895722910092997E-07</v>
      </c>
    </row>
    <row r="4" ht="12.75">
      <c r="B4" s="52">
        <f t="shared" si="0"/>
        <v>327000</v>
      </c>
    </row>
    <row r="5" ht="12.75">
      <c r="B5" s="52">
        <f t="shared" si="0"/>
        <v>327000</v>
      </c>
    </row>
    <row r="6" ht="12.75">
      <c r="B6" s="52">
        <f t="shared" si="0"/>
        <v>327000</v>
      </c>
    </row>
    <row r="7" ht="12.75">
      <c r="B7" s="52">
        <f t="shared" si="0"/>
        <v>327000</v>
      </c>
    </row>
    <row r="9" spans="1:9" ht="12.75">
      <c r="A9" s="2" t="s">
        <v>127</v>
      </c>
      <c r="B9" s="13" t="s">
        <v>93</v>
      </c>
      <c r="C9" s="3" t="s">
        <v>95</v>
      </c>
      <c r="D9" s="3" t="s">
        <v>91</v>
      </c>
      <c r="E9" s="49" t="s">
        <v>52</v>
      </c>
      <c r="F9" s="120" t="s">
        <v>128</v>
      </c>
      <c r="G9" s="121"/>
      <c r="H9" s="120" t="s">
        <v>129</v>
      </c>
      <c r="I9" s="121"/>
    </row>
    <row r="10" spans="2:9" ht="12.75">
      <c r="B10" s="52"/>
      <c r="C10" s="47" t="e">
        <f>SUM(B10:B15)/COUNT(B10:B15)</f>
        <v>#DIV/0!</v>
      </c>
      <c r="D10" s="47">
        <f>COUNT(B10:B15)</f>
        <v>0</v>
      </c>
      <c r="E10" s="66">
        <f>($B10-intercept)/slope</f>
        <v>2.0964393478300773E-08</v>
      </c>
      <c r="F10" s="50" t="e">
        <f>$E10+(($E10-xmean)*gval_95-ABS((tval_95*svalue/slope))*SQRT(($E10-xmean)^2/S_xx+(Ndata+$D10)*(1-gval_95)/Ndata/$D10))/(1-gval_95)</f>
        <v>#DIV/0!</v>
      </c>
      <c r="G10" s="50" t="e">
        <f>$E10+(($E10-xmean)*gval_95+ABS((tval_95*svalue/slope))*SQRT(($E10-xmean)^2/S_xx+(Ndata+$D10)*(1-gval_95)/Ndata/$D10))/(1-gval_95)</f>
        <v>#DIV/0!</v>
      </c>
      <c r="H10" s="50" t="e">
        <f>$E10+(($E10-xmean)*gval_99-ABS((tval_99*svalue/slope))*SQRT(($E10-xmean)^2/S_xx+(Ndata+$D10)*(1-gval_99)/Ndata/$D10))/(1-gval_99)</f>
        <v>#DIV/0!</v>
      </c>
      <c r="I10" s="50" t="e">
        <f>$E10+(($E10-xmean)*gval_99+ABS((tval_99*svalue/slope))*SQRT(($E10-xmean)^2/S_xx+(Ndata+$D10)*(1-gval_99)/Ndata/$D10))/(1-gval_99)</f>
        <v>#DIV/0!</v>
      </c>
    </row>
    <row r="11" spans="2:9" ht="12.75">
      <c r="B11" s="52"/>
      <c r="F11" t="e">
        <f>F10-$E10</f>
        <v>#DIV/0!</v>
      </c>
      <c r="G11" t="e">
        <f>G10-$E10</f>
        <v>#DIV/0!</v>
      </c>
      <c r="H11" t="e">
        <f>H10-$E10</f>
        <v>#DIV/0!</v>
      </c>
      <c r="I11" t="e">
        <f>I10-$E10</f>
        <v>#DIV/0!</v>
      </c>
    </row>
    <row r="12" ht="12.75">
      <c r="B12" s="52"/>
    </row>
    <row r="13" ht="12.75">
      <c r="B13" s="52"/>
    </row>
    <row r="14" ht="12.75">
      <c r="B14" s="52"/>
    </row>
    <row r="15" ht="12.75">
      <c r="B15" s="52"/>
    </row>
    <row r="17" spans="1:9" ht="12.75">
      <c r="A17" s="2" t="s">
        <v>127</v>
      </c>
      <c r="B17" s="13" t="s">
        <v>93</v>
      </c>
      <c r="C17" s="3" t="s">
        <v>95</v>
      </c>
      <c r="D17" s="3" t="s">
        <v>91</v>
      </c>
      <c r="E17" s="49" t="s">
        <v>52</v>
      </c>
      <c r="F17" s="120" t="s">
        <v>128</v>
      </c>
      <c r="G17" s="121"/>
      <c r="H17" s="120" t="s">
        <v>129</v>
      </c>
      <c r="I17" s="121"/>
    </row>
    <row r="18" spans="2:9" ht="12.75">
      <c r="B18" s="52"/>
      <c r="C18" s="47" t="e">
        <f>SUM(B18:B23)/COUNT(B18:B23)</f>
        <v>#DIV/0!</v>
      </c>
      <c r="D18" s="47">
        <f>COUNT(B18:B23)</f>
        <v>0</v>
      </c>
      <c r="E18" s="66">
        <f>($B18-intercept)/slope</f>
        <v>2.0964393478300773E-08</v>
      </c>
      <c r="F18" s="50" t="e">
        <f>$E18+(($E18-xmean)*gval_95-ABS((tval_95*svalue/slope))*SQRT(($E18-xmean)^2/S_xx+(Ndata+$D18)*(1-gval_95)/Ndata/$D18))/(1-gval_95)</f>
        <v>#DIV/0!</v>
      </c>
      <c r="G18" s="50" t="e">
        <f>$E18+(($E18-xmean)*gval_95+ABS((tval_95*svalue/slope))*SQRT(($E18-xmean)^2/S_xx+(Ndata+$D18)*(1-gval_95)/Ndata/$D18))/(1-gval_95)</f>
        <v>#DIV/0!</v>
      </c>
      <c r="H18" s="50" t="e">
        <f>$E18+(($E18-xmean)*gval_99-ABS((tval_99*svalue/slope))*SQRT(($E18-xmean)^2/S_xx+(Ndata+$D18)*(1-gval_99)/Ndata/$D18))/(1-gval_99)</f>
        <v>#DIV/0!</v>
      </c>
      <c r="I18" s="50" t="e">
        <f>$E18+(($E18-xmean)*gval_99+ABS((tval_99*svalue/slope))*SQRT(($E18-xmean)^2/S_xx+(Ndata+$D18)*(1-gval_99)/Ndata/$D18))/(1-gval_99)</f>
        <v>#DIV/0!</v>
      </c>
    </row>
    <row r="19" spans="2:9" ht="12.75">
      <c r="B19" s="52"/>
      <c r="F19" t="e">
        <f>F18-$E18</f>
        <v>#DIV/0!</v>
      </c>
      <c r="G19" t="e">
        <f>G18-$E18</f>
        <v>#DIV/0!</v>
      </c>
      <c r="H19" t="e">
        <f>H18-$E18</f>
        <v>#DIV/0!</v>
      </c>
      <c r="I19" t="e">
        <f>I18-$E18</f>
        <v>#DIV/0!</v>
      </c>
    </row>
    <row r="20" ht="12.75">
      <c r="B20" s="52"/>
    </row>
    <row r="21" ht="12.75">
      <c r="B21" s="52"/>
    </row>
    <row r="22" ht="12.75">
      <c r="B22" s="52"/>
    </row>
    <row r="23" ht="12.75">
      <c r="B23" s="52"/>
    </row>
    <row r="25" spans="1:9" ht="12.75">
      <c r="A25" s="2" t="s">
        <v>127</v>
      </c>
      <c r="B25" s="13" t="s">
        <v>93</v>
      </c>
      <c r="C25" s="3" t="s">
        <v>95</v>
      </c>
      <c r="D25" s="3" t="s">
        <v>91</v>
      </c>
      <c r="E25" s="49" t="s">
        <v>52</v>
      </c>
      <c r="F25" s="120" t="s">
        <v>128</v>
      </c>
      <c r="G25" s="121"/>
      <c r="H25" s="120" t="s">
        <v>129</v>
      </c>
      <c r="I25" s="121"/>
    </row>
    <row r="26" spans="2:9" ht="12.75">
      <c r="B26" s="52"/>
      <c r="C26" s="47" t="e">
        <f>SUM(B26:B31)/COUNT(B26:B31)</f>
        <v>#DIV/0!</v>
      </c>
      <c r="D26" s="47">
        <f>COUNT(B26:B31)</f>
        <v>0</v>
      </c>
      <c r="E26" s="66">
        <f>($B26-intercept)/slope</f>
        <v>2.0964393478300773E-08</v>
      </c>
      <c r="F26" s="50" t="e">
        <f>$E26+(($E26-xmean)*gval_95-ABS((tval_95*svalue/slope))*SQRT(($E26-xmean)^2/S_xx+(Ndata+$D26)*(1-gval_95)/Ndata/$D26))/(1-gval_95)</f>
        <v>#DIV/0!</v>
      </c>
      <c r="G26" s="50" t="e">
        <f>$E26+(($E26-xmean)*gval_95+ABS((tval_95*svalue/slope))*SQRT(($E26-xmean)^2/S_xx+(Ndata+$D26)*(1-gval_95)/Ndata/$D26))/(1-gval_95)</f>
        <v>#DIV/0!</v>
      </c>
      <c r="H26" s="50" t="e">
        <f>$E26+(($E26-xmean)*gval_99-ABS((tval_99*svalue/slope))*SQRT(($E26-xmean)^2/S_xx+(Ndata+$D26)*(1-gval_99)/Ndata/$D26))/(1-gval_99)</f>
        <v>#DIV/0!</v>
      </c>
      <c r="I26" s="50" t="e">
        <f>$E26+(($E26-xmean)*gval_99+ABS((tval_99*svalue/slope))*SQRT(($E26-xmean)^2/S_xx+(Ndata+$D26)*(1-gval_99)/Ndata/$D26))/(1-gval_99)</f>
        <v>#DIV/0!</v>
      </c>
    </row>
    <row r="27" spans="2:9" ht="12.75">
      <c r="B27" s="52"/>
      <c r="F27" t="e">
        <f>F26-$E26</f>
        <v>#DIV/0!</v>
      </c>
      <c r="G27" t="e">
        <f>G26-$E26</f>
        <v>#DIV/0!</v>
      </c>
      <c r="H27" t="e">
        <f>H26-$E26</f>
        <v>#DIV/0!</v>
      </c>
      <c r="I27" t="e">
        <f>I26-$E26</f>
        <v>#DIV/0!</v>
      </c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3" spans="1:9" ht="12.75">
      <c r="A33" s="2" t="s">
        <v>127</v>
      </c>
      <c r="B33" s="13" t="s">
        <v>93</v>
      </c>
      <c r="C33" s="3" t="s">
        <v>95</v>
      </c>
      <c r="D33" s="3" t="s">
        <v>91</v>
      </c>
      <c r="E33" s="49" t="s">
        <v>52</v>
      </c>
      <c r="F33" s="120" t="s">
        <v>128</v>
      </c>
      <c r="G33" s="121"/>
      <c r="H33" s="120" t="s">
        <v>129</v>
      </c>
      <c r="I33" s="121"/>
    </row>
    <row r="34" spans="2:9" ht="12.75">
      <c r="B34" s="52"/>
      <c r="C34" s="47" t="e">
        <f>SUM(B34:B39)/COUNT(B34:B39)</f>
        <v>#DIV/0!</v>
      </c>
      <c r="D34" s="47">
        <f>COUNT(B34:B39)</f>
        <v>0</v>
      </c>
      <c r="E34" s="66">
        <f>($B34-intercept)/slope</f>
        <v>2.0964393478300773E-08</v>
      </c>
      <c r="F34" s="50" t="e">
        <f>$E34+(($E34-xmean)*gval_95-ABS((tval_95*svalue/slope))*SQRT(($E34-xmean)^2/S_xx+(Ndata+$D34)*(1-gval_95)/Ndata/$D34))/(1-gval_95)</f>
        <v>#DIV/0!</v>
      </c>
      <c r="G34" s="50" t="e">
        <f>$E34+(($E34-xmean)*gval_95+ABS((tval_95*svalue/slope))*SQRT(($E34-xmean)^2/S_xx+(Ndata+$D34)*(1-gval_95)/Ndata/$D34))/(1-gval_95)</f>
        <v>#DIV/0!</v>
      </c>
      <c r="H34" s="50" t="e">
        <f>$E34+(($E34-xmean)*gval_99-ABS((tval_99*svalue/slope))*SQRT(($E34-xmean)^2/S_xx+(Ndata+$D34)*(1-gval_99)/Ndata/$D34))/(1-gval_99)</f>
        <v>#DIV/0!</v>
      </c>
      <c r="I34" s="50" t="e">
        <f>$E34+(($E34-xmean)*gval_99+ABS((tval_99*svalue/slope))*SQRT(($E34-xmean)^2/S_xx+(Ndata+$D34)*(1-gval_99)/Ndata/$D34))/(1-gval_99)</f>
        <v>#DIV/0!</v>
      </c>
    </row>
    <row r="35" spans="2:9" ht="12.75">
      <c r="B35" s="52"/>
      <c r="F35" t="e">
        <f>F34-$E34</f>
        <v>#DIV/0!</v>
      </c>
      <c r="G35" t="e">
        <f>G34-$E34</f>
        <v>#DIV/0!</v>
      </c>
      <c r="H35" t="e">
        <f>H34-$E34</f>
        <v>#DIV/0!</v>
      </c>
      <c r="I35" t="e">
        <f>I34-$E34</f>
        <v>#DIV/0!</v>
      </c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1" spans="1:9" ht="12.75">
      <c r="A41" s="2" t="s">
        <v>127</v>
      </c>
      <c r="B41" s="13" t="s">
        <v>93</v>
      </c>
      <c r="C41" s="3" t="s">
        <v>95</v>
      </c>
      <c r="D41" s="3" t="s">
        <v>91</v>
      </c>
      <c r="E41" s="49" t="s">
        <v>52</v>
      </c>
      <c r="F41" s="120" t="s">
        <v>128</v>
      </c>
      <c r="G41" s="121"/>
      <c r="H41" s="120" t="s">
        <v>129</v>
      </c>
      <c r="I41" s="121"/>
    </row>
    <row r="42" spans="2:9" ht="12.75">
      <c r="B42" s="52"/>
      <c r="C42" s="47" t="e">
        <f>SUM(B42:B47)/COUNT(B42:B47)</f>
        <v>#DIV/0!</v>
      </c>
      <c r="D42" s="47">
        <f>COUNT(B42:B47)</f>
        <v>0</v>
      </c>
      <c r="E42" s="66">
        <f>($B42-intercept)/slope</f>
        <v>2.0964393478300773E-08</v>
      </c>
      <c r="F42" s="50" t="e">
        <f>$E42+(($E42-xmean)*gval_95-ABS((tval_95*svalue/slope))*SQRT(($E42-xmean)^2/S_xx+(Ndata+$D42)*(1-gval_95)/Ndata/$D42))/(1-gval_95)</f>
        <v>#DIV/0!</v>
      </c>
      <c r="G42" s="50" t="e">
        <f>$E42+(($E42-xmean)*gval_95+ABS((tval_95*svalue/slope))*SQRT(($E42-xmean)^2/S_xx+(Ndata+$D42)*(1-gval_95)/Ndata/$D42))/(1-gval_95)</f>
        <v>#DIV/0!</v>
      </c>
      <c r="H42" s="50" t="e">
        <f>$E42+(($E42-xmean)*gval_99-ABS((tval_99*svalue/slope))*SQRT(($E42-xmean)^2/S_xx+(Ndata+$D42)*(1-gval_99)/Ndata/$D42))/(1-gval_99)</f>
        <v>#DIV/0!</v>
      </c>
      <c r="I42" s="50" t="e">
        <f>$E42+(($E42-xmean)*gval_99+ABS((tval_99*svalue/slope))*SQRT(($E42-xmean)^2/S_xx+(Ndata+$D42)*(1-gval_99)/Ndata/$D42))/(1-gval_99)</f>
        <v>#DIV/0!</v>
      </c>
    </row>
    <row r="43" spans="2:9" ht="12.75">
      <c r="B43" s="52"/>
      <c r="F43" t="e">
        <f>F42-$E42</f>
        <v>#DIV/0!</v>
      </c>
      <c r="G43" t="e">
        <f>G42-$E42</f>
        <v>#DIV/0!</v>
      </c>
      <c r="H43" t="e">
        <f>H42-$E42</f>
        <v>#DIV/0!</v>
      </c>
      <c r="I43" t="e">
        <f>I42-$E42</f>
        <v>#DIV/0!</v>
      </c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9" spans="1:9" ht="12.75">
      <c r="A49" s="2" t="s">
        <v>127</v>
      </c>
      <c r="B49" s="13" t="s">
        <v>93</v>
      </c>
      <c r="C49" s="3" t="s">
        <v>95</v>
      </c>
      <c r="D49" s="3" t="s">
        <v>91</v>
      </c>
      <c r="E49" s="49" t="s">
        <v>52</v>
      </c>
      <c r="F49" s="120" t="s">
        <v>128</v>
      </c>
      <c r="G49" s="121"/>
      <c r="H49" s="120" t="s">
        <v>129</v>
      </c>
      <c r="I49" s="121"/>
    </row>
    <row r="50" spans="2:9" ht="12.75">
      <c r="B50" s="52"/>
      <c r="C50" s="47" t="e">
        <f>SUM(B50:B55)/COUNT(B50:B55)</f>
        <v>#DIV/0!</v>
      </c>
      <c r="D50" s="47">
        <f>COUNT(B50:B55)</f>
        <v>0</v>
      </c>
      <c r="E50" s="66">
        <f>($B50-intercept)/slope</f>
        <v>2.0964393478300773E-08</v>
      </c>
      <c r="F50" s="50" t="e">
        <f>$E50+(($E50-xmean)*gval_95-ABS((tval_95*svalue/slope))*SQRT(($E50-xmean)^2/S_xx+(Ndata+$D50)*(1-gval_95)/Ndata/$D50))/(1-gval_95)</f>
        <v>#DIV/0!</v>
      </c>
      <c r="G50" s="50" t="e">
        <f>$E50+(($E50-xmean)*gval_95+ABS((tval_95*svalue/slope))*SQRT(($E50-xmean)^2/S_xx+(Ndata+$D50)*(1-gval_95)/Ndata/$D50))/(1-gval_95)</f>
        <v>#DIV/0!</v>
      </c>
      <c r="H50" s="50" t="e">
        <f>$E50+(($E50-xmean)*gval_99-ABS((tval_99*svalue/slope))*SQRT(($E50-xmean)^2/S_xx+(Ndata+$D50)*(1-gval_99)/Ndata/$D50))/(1-gval_99)</f>
        <v>#DIV/0!</v>
      </c>
      <c r="I50" s="50" t="e">
        <f>$E50+(($E50-xmean)*gval_99+ABS((tval_99*svalue/slope))*SQRT(($E50-xmean)^2/S_xx+(Ndata+$D50)*(1-gval_99)/Ndata/$D50))/(1-gval_99)</f>
        <v>#DIV/0!</v>
      </c>
    </row>
    <row r="51" spans="2:9" ht="12.75">
      <c r="B51" s="52"/>
      <c r="F51" t="e">
        <f>F50-$E50</f>
        <v>#DIV/0!</v>
      </c>
      <c r="G51" t="e">
        <f>G50-$E50</f>
        <v>#DIV/0!</v>
      </c>
      <c r="H51" t="e">
        <f>H50-$E50</f>
        <v>#DIV/0!</v>
      </c>
      <c r="I51" t="e">
        <f>I50-$E50</f>
        <v>#DIV/0!</v>
      </c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7" spans="1:9" ht="12.75">
      <c r="A57" s="2" t="s">
        <v>127</v>
      </c>
      <c r="B57" s="13" t="s">
        <v>93</v>
      </c>
      <c r="C57" s="3" t="s">
        <v>95</v>
      </c>
      <c r="D57" s="3" t="s">
        <v>91</v>
      </c>
      <c r="E57" s="49" t="s">
        <v>52</v>
      </c>
      <c r="F57" s="120" t="s">
        <v>128</v>
      </c>
      <c r="G57" s="121"/>
      <c r="H57" s="120" t="s">
        <v>129</v>
      </c>
      <c r="I57" s="121"/>
    </row>
    <row r="58" spans="2:9" ht="12.75">
      <c r="B58" s="52"/>
      <c r="C58" s="47" t="e">
        <f>SUM(B58:B63)/COUNT(B58:B63)</f>
        <v>#DIV/0!</v>
      </c>
      <c r="D58" s="47">
        <f>COUNT(B58:B63)</f>
        <v>0</v>
      </c>
      <c r="E58" s="66">
        <f>($B58-intercept)/slope</f>
        <v>2.0964393478300773E-08</v>
      </c>
      <c r="F58" s="50" t="e">
        <f>$E58+(($E58-xmean)*gval_95-ABS((tval_95*svalue/slope))*SQRT(($E58-xmean)^2/S_xx+(Ndata+$D58)*(1-gval_95)/Ndata/$D58))/(1-gval_95)</f>
        <v>#DIV/0!</v>
      </c>
      <c r="G58" s="50" t="e">
        <f>$E58+(($E58-xmean)*gval_95+ABS((tval_95*svalue/slope))*SQRT(($E58-xmean)^2/S_xx+(Ndata+$D58)*(1-gval_95)/Ndata/$D58))/(1-gval_95)</f>
        <v>#DIV/0!</v>
      </c>
      <c r="H58" s="50" t="e">
        <f>$E58+(($E58-xmean)*gval_99-ABS((tval_99*svalue/slope))*SQRT(($E58-xmean)^2/S_xx+(Ndata+$D58)*(1-gval_99)/Ndata/$D58))/(1-gval_99)</f>
        <v>#DIV/0!</v>
      </c>
      <c r="I58" s="50" t="e">
        <f>$E58+(($E58-xmean)*gval_99+ABS((tval_99*svalue/slope))*SQRT(($E58-xmean)^2/S_xx+(Ndata+$D58)*(1-gval_99)/Ndata/$D58))/(1-gval_99)</f>
        <v>#DIV/0!</v>
      </c>
    </row>
    <row r="59" spans="2:9" ht="12.75">
      <c r="B59" s="52"/>
      <c r="F59" t="e">
        <f>F58-$E58</f>
        <v>#DIV/0!</v>
      </c>
      <c r="G59" t="e">
        <f>G58-$E58</f>
        <v>#DIV/0!</v>
      </c>
      <c r="H59" t="e">
        <f>H58-$E58</f>
        <v>#DIV/0!</v>
      </c>
      <c r="I59" t="e">
        <f>I58-$E58</f>
        <v>#DIV/0!</v>
      </c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5" spans="1:9" ht="12.75">
      <c r="A65" s="2" t="s">
        <v>127</v>
      </c>
      <c r="B65" s="13" t="s">
        <v>93</v>
      </c>
      <c r="C65" s="3" t="s">
        <v>95</v>
      </c>
      <c r="D65" s="3" t="s">
        <v>91</v>
      </c>
      <c r="E65" s="49" t="s">
        <v>52</v>
      </c>
      <c r="F65" s="120" t="s">
        <v>128</v>
      </c>
      <c r="G65" s="121"/>
      <c r="H65" s="120" t="s">
        <v>129</v>
      </c>
      <c r="I65" s="121"/>
    </row>
    <row r="66" spans="2:9" ht="12.75">
      <c r="B66" s="52"/>
      <c r="C66" s="47" t="e">
        <f>SUM(B66:B71)/COUNT(B66:B71)</f>
        <v>#DIV/0!</v>
      </c>
      <c r="D66" s="47">
        <f>COUNT(B66:B71)</f>
        <v>0</v>
      </c>
      <c r="E66" s="66">
        <f>($B66-intercept)/slope</f>
        <v>2.0964393478300773E-08</v>
      </c>
      <c r="F66" s="50" t="e">
        <f>$E66+(($E66-xmean)*gval_95-ABS((tval_95*svalue/slope))*SQRT(($E66-xmean)^2/S_xx+(Ndata+$D66)*(1-gval_95)/Ndata/$D66))/(1-gval_95)</f>
        <v>#DIV/0!</v>
      </c>
      <c r="G66" s="50" t="e">
        <f>$E66+(($E66-xmean)*gval_95+ABS((tval_95*svalue/slope))*SQRT(($E66-xmean)^2/S_xx+(Ndata+$D66)*(1-gval_95)/Ndata/$D66))/(1-gval_95)</f>
        <v>#DIV/0!</v>
      </c>
      <c r="H66" s="50" t="e">
        <f>$E66+(($E66-xmean)*gval_99-ABS((tval_99*svalue/slope))*SQRT(($E66-xmean)^2/S_xx+(Ndata+$D66)*(1-gval_99)/Ndata/$D66))/(1-gval_99)</f>
        <v>#DIV/0!</v>
      </c>
      <c r="I66" s="50" t="e">
        <f>$E66+(($E66-xmean)*gval_99+ABS((tval_99*svalue/slope))*SQRT(($E66-xmean)^2/S_xx+(Ndata+$D66)*(1-gval_99)/Ndata/$D66))/(1-gval_99)</f>
        <v>#DIV/0!</v>
      </c>
    </row>
    <row r="67" spans="2:9" ht="12.75">
      <c r="B67" s="52"/>
      <c r="F67" t="e">
        <f>F66-$E66</f>
        <v>#DIV/0!</v>
      </c>
      <c r="G67" t="e">
        <f>G66-$E66</f>
        <v>#DIV/0!</v>
      </c>
      <c r="H67" t="e">
        <f>H66-$E66</f>
        <v>#DIV/0!</v>
      </c>
      <c r="I67" t="e">
        <f>I66-$E66</f>
        <v>#DIV/0!</v>
      </c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3" spans="1:9" ht="12.75">
      <c r="A73" s="2" t="s">
        <v>127</v>
      </c>
      <c r="B73" s="13" t="s">
        <v>93</v>
      </c>
      <c r="C73" s="3" t="s">
        <v>95</v>
      </c>
      <c r="D73" s="3" t="s">
        <v>91</v>
      </c>
      <c r="E73" s="49" t="s">
        <v>52</v>
      </c>
      <c r="F73" s="120" t="s">
        <v>128</v>
      </c>
      <c r="G73" s="121"/>
      <c r="H73" s="120" t="s">
        <v>129</v>
      </c>
      <c r="I73" s="121"/>
    </row>
    <row r="74" spans="2:9" ht="12.75">
      <c r="B74" s="52"/>
      <c r="C74" s="47" t="e">
        <f>SUM(B74:B79)/COUNT(B74:B79)</f>
        <v>#DIV/0!</v>
      </c>
      <c r="D74" s="47">
        <f>COUNT(B74:B79)</f>
        <v>0</v>
      </c>
      <c r="E74" s="66">
        <f>($B74-intercept)/slope</f>
        <v>2.0964393478300773E-08</v>
      </c>
      <c r="F74" s="50" t="e">
        <f>$E74+(($E74-xmean)*gval_95-ABS((tval_95*svalue/slope))*SQRT(($E74-xmean)^2/S_xx+(Ndata+$D74)*(1-gval_95)/Ndata/$D74))/(1-gval_95)</f>
        <v>#DIV/0!</v>
      </c>
      <c r="G74" s="50" t="e">
        <f>$E74+(($E74-xmean)*gval_95+ABS((tval_95*svalue/slope))*SQRT(($E74-xmean)^2/S_xx+(Ndata+$D74)*(1-gval_95)/Ndata/$D74))/(1-gval_95)</f>
        <v>#DIV/0!</v>
      </c>
      <c r="H74" s="50" t="e">
        <f>$E74+(($E74-xmean)*gval_99-ABS((tval_99*svalue/slope))*SQRT(($E74-xmean)^2/S_xx+(Ndata+$D74)*(1-gval_99)/Ndata/$D74))/(1-gval_99)</f>
        <v>#DIV/0!</v>
      </c>
      <c r="I74" s="50" t="e">
        <f>$E74+(($E74-xmean)*gval_99+ABS((tval_99*svalue/slope))*SQRT(($E74-xmean)^2/S_xx+(Ndata+$D74)*(1-gval_99)/Ndata/$D74))/(1-gval_99)</f>
        <v>#DIV/0!</v>
      </c>
    </row>
    <row r="75" spans="2:9" ht="12.75">
      <c r="B75" s="52"/>
      <c r="F75" t="e">
        <f>F74-$E74</f>
        <v>#DIV/0!</v>
      </c>
      <c r="G75" t="e">
        <f>G74-$E74</f>
        <v>#DIV/0!</v>
      </c>
      <c r="H75" t="e">
        <f>H74-$E74</f>
        <v>#DIV/0!</v>
      </c>
      <c r="I75" t="e">
        <f>I74-$E74</f>
        <v>#DIV/0!</v>
      </c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1" spans="1:9" ht="12.75">
      <c r="A81" s="2" t="s">
        <v>127</v>
      </c>
      <c r="B81" s="13" t="s">
        <v>93</v>
      </c>
      <c r="C81" s="3" t="s">
        <v>95</v>
      </c>
      <c r="D81" s="3" t="s">
        <v>91</v>
      </c>
      <c r="E81" s="49" t="s">
        <v>52</v>
      </c>
      <c r="F81" s="120" t="s">
        <v>128</v>
      </c>
      <c r="G81" s="121"/>
      <c r="H81" s="120" t="s">
        <v>129</v>
      </c>
      <c r="I81" s="121"/>
    </row>
    <row r="82" spans="2:9" ht="12.75">
      <c r="B82" s="52"/>
      <c r="C82" s="47" t="e">
        <f>SUM(B82:B87)/COUNT(B82:B87)</f>
        <v>#DIV/0!</v>
      </c>
      <c r="D82" s="47">
        <f>COUNT(B82:B87)</f>
        <v>0</v>
      </c>
      <c r="E82" s="66">
        <f>($B82-intercept)/slope</f>
        <v>2.0964393478300773E-08</v>
      </c>
      <c r="F82" s="50" t="e">
        <f>$E82+(($E82-xmean)*gval_95-ABS((tval_95*svalue/slope))*SQRT(($E82-xmean)^2/S_xx+(Ndata+$D82)*(1-gval_95)/Ndata/$D82))/(1-gval_95)</f>
        <v>#DIV/0!</v>
      </c>
      <c r="G82" s="50" t="e">
        <f>$E82+(($E82-xmean)*gval_95+ABS((tval_95*svalue/slope))*SQRT(($E82-xmean)^2/S_xx+(Ndata+$D82)*(1-gval_95)/Ndata/$D82))/(1-gval_95)</f>
        <v>#DIV/0!</v>
      </c>
      <c r="H82" s="50" t="e">
        <f>$E82+(($E82-xmean)*gval_99-ABS((tval_99*svalue/slope))*SQRT(($E82-xmean)^2/S_xx+(Ndata+$D82)*(1-gval_99)/Ndata/$D82))/(1-gval_99)</f>
        <v>#DIV/0!</v>
      </c>
      <c r="I82" s="50" t="e">
        <f>$E82+(($E82-xmean)*gval_99+ABS((tval_99*svalue/slope))*SQRT(($E82-xmean)^2/S_xx+(Ndata+$D82)*(1-gval_99)/Ndata/$D82))/(1-gval_99)</f>
        <v>#DIV/0!</v>
      </c>
    </row>
    <row r="83" spans="2:9" ht="12.75">
      <c r="B83" s="52"/>
      <c r="F83" t="e">
        <f>F82-$E82</f>
        <v>#DIV/0!</v>
      </c>
      <c r="G83" t="e">
        <f>G82-$E82</f>
        <v>#DIV/0!</v>
      </c>
      <c r="H83" t="e">
        <f>H82-$E82</f>
        <v>#DIV/0!</v>
      </c>
      <c r="I83" t="e">
        <f>I82-$E82</f>
        <v>#DIV/0!</v>
      </c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9" spans="1:9" ht="12.75">
      <c r="A89" s="2" t="s">
        <v>127</v>
      </c>
      <c r="B89" s="13" t="s">
        <v>93</v>
      </c>
      <c r="C89" s="3" t="s">
        <v>95</v>
      </c>
      <c r="D89" s="3" t="s">
        <v>91</v>
      </c>
      <c r="E89" s="49" t="s">
        <v>52</v>
      </c>
      <c r="F89" s="120" t="s">
        <v>128</v>
      </c>
      <c r="G89" s="121"/>
      <c r="H89" s="120" t="s">
        <v>129</v>
      </c>
      <c r="I89" s="121"/>
    </row>
    <row r="90" spans="2:9" ht="12.75">
      <c r="B90" s="52"/>
      <c r="C90" s="47" t="e">
        <f>SUM(B90:B95)/COUNT(B90:B95)</f>
        <v>#DIV/0!</v>
      </c>
      <c r="D90" s="47">
        <f>COUNT(B90:B95)</f>
        <v>0</v>
      </c>
      <c r="E90" s="66">
        <f>($B90-intercept)/slope</f>
        <v>2.0964393478300773E-08</v>
      </c>
      <c r="F90" s="50" t="e">
        <f>$E90+(($E90-xmean)*gval_95-ABS((tval_95*svalue/slope))*SQRT(($E90-xmean)^2/S_xx+(Ndata+$D90)*(1-gval_95)/Ndata/$D90))/(1-gval_95)</f>
        <v>#DIV/0!</v>
      </c>
      <c r="G90" s="50" t="e">
        <f>$E90+(($E90-xmean)*gval_95+ABS((tval_95*svalue/slope))*SQRT(($E90-xmean)^2/S_xx+(Ndata+$D90)*(1-gval_95)/Ndata/$D90))/(1-gval_95)</f>
        <v>#DIV/0!</v>
      </c>
      <c r="H90" s="50" t="e">
        <f>$E90+(($E90-xmean)*gval_99-ABS((tval_99*svalue/slope))*SQRT(($E90-xmean)^2/S_xx+(Ndata+$D90)*(1-gval_99)/Ndata/$D90))/(1-gval_99)</f>
        <v>#DIV/0!</v>
      </c>
      <c r="I90" s="50" t="e">
        <f>$E90+(($E90-xmean)*gval_99+ABS((tval_99*svalue/slope))*SQRT(($E90-xmean)^2/S_xx+(Ndata+$D90)*(1-gval_99)/Ndata/$D90))/(1-gval_99)</f>
        <v>#DIV/0!</v>
      </c>
    </row>
    <row r="91" spans="2:9" ht="12.75">
      <c r="B91" s="52"/>
      <c r="F91" t="e">
        <f>F90-$E90</f>
        <v>#DIV/0!</v>
      </c>
      <c r="G91" t="e">
        <f>G90-$E90</f>
        <v>#DIV/0!</v>
      </c>
      <c r="H91" t="e">
        <f>H90-$E90</f>
        <v>#DIV/0!</v>
      </c>
      <c r="I91" t="e">
        <f>I90-$E90</f>
        <v>#DIV/0!</v>
      </c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7" spans="1:9" ht="12.75">
      <c r="A97" s="2" t="s">
        <v>127</v>
      </c>
      <c r="B97" s="13" t="s">
        <v>93</v>
      </c>
      <c r="C97" s="3" t="s">
        <v>95</v>
      </c>
      <c r="D97" s="3" t="s">
        <v>91</v>
      </c>
      <c r="E97" s="49" t="s">
        <v>52</v>
      </c>
      <c r="F97" s="120" t="s">
        <v>128</v>
      </c>
      <c r="G97" s="121"/>
      <c r="H97" s="120" t="s">
        <v>129</v>
      </c>
      <c r="I97" s="121"/>
    </row>
    <row r="98" spans="2:9" ht="12.75">
      <c r="B98" s="52"/>
      <c r="C98" s="47" t="e">
        <f>SUM(B98:B103)/COUNT(B98:B103)</f>
        <v>#DIV/0!</v>
      </c>
      <c r="D98" s="47">
        <f>COUNT(B98:B103)</f>
        <v>0</v>
      </c>
      <c r="E98" s="66">
        <f>($B98-intercept)/slope</f>
        <v>2.0964393478300773E-08</v>
      </c>
      <c r="F98" s="50" t="e">
        <f>$E98+(($E98-xmean)*gval_95-ABS((tval_95*svalue/slope))*SQRT(($E98-xmean)^2/S_xx+(Ndata+$D98)*(1-gval_95)/Ndata/$D98))/(1-gval_95)</f>
        <v>#DIV/0!</v>
      </c>
      <c r="G98" s="50" t="e">
        <f>$E98+(($E98-xmean)*gval_95+ABS((tval_95*svalue/slope))*SQRT(($E98-xmean)^2/S_xx+(Ndata+$D98)*(1-gval_95)/Ndata/$D98))/(1-gval_95)</f>
        <v>#DIV/0!</v>
      </c>
      <c r="H98" s="50" t="e">
        <f>$E98+(($E98-xmean)*gval_99-ABS((tval_99*svalue/slope))*SQRT(($E98-xmean)^2/S_xx+(Ndata+$D98)*(1-gval_99)/Ndata/$D98))/(1-gval_99)</f>
        <v>#DIV/0!</v>
      </c>
      <c r="I98" s="50" t="e">
        <f>$E98+(($E98-xmean)*gval_99+ABS((tval_99*svalue/slope))*SQRT(($E98-xmean)^2/S_xx+(Ndata+$D98)*(1-gval_99)/Ndata/$D98))/(1-gval_99)</f>
        <v>#DIV/0!</v>
      </c>
    </row>
    <row r="99" spans="2:9" ht="12.75">
      <c r="B99" s="52"/>
      <c r="F99" t="e">
        <f>F98-$E98</f>
        <v>#DIV/0!</v>
      </c>
      <c r="G99" t="e">
        <f>G98-$E98</f>
        <v>#DIV/0!</v>
      </c>
      <c r="H99" t="e">
        <f>H98-$E98</f>
        <v>#DIV/0!</v>
      </c>
      <c r="I99" t="e">
        <f>I98-$E98</f>
        <v>#DIV/0!</v>
      </c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5" spans="1:9" ht="12.75">
      <c r="A105" s="2" t="s">
        <v>127</v>
      </c>
      <c r="B105" s="13" t="s">
        <v>93</v>
      </c>
      <c r="C105" s="3" t="s">
        <v>95</v>
      </c>
      <c r="D105" s="3" t="s">
        <v>91</v>
      </c>
      <c r="E105" s="49" t="s">
        <v>52</v>
      </c>
      <c r="F105" s="120" t="s">
        <v>128</v>
      </c>
      <c r="G105" s="121"/>
      <c r="H105" s="120" t="s">
        <v>129</v>
      </c>
      <c r="I105" s="121"/>
    </row>
    <row r="106" spans="2:9" ht="12.75">
      <c r="B106" s="52"/>
      <c r="C106" s="47" t="e">
        <f>SUM(B106:B111)/COUNT(B106:B111)</f>
        <v>#DIV/0!</v>
      </c>
      <c r="D106" s="47">
        <f>COUNT(B106:B111)</f>
        <v>0</v>
      </c>
      <c r="E106" s="66">
        <f>($B106-intercept)/slope</f>
        <v>2.0964393478300773E-08</v>
      </c>
      <c r="F106" s="50" t="e">
        <f>$E106+(($E106-xmean)*gval_95-ABS((tval_95*svalue/slope))*SQRT(($E106-xmean)^2/S_xx+(Ndata+$D106)*(1-gval_95)/Ndata/$D106))/(1-gval_95)</f>
        <v>#DIV/0!</v>
      </c>
      <c r="G106" s="50" t="e">
        <f>$E106+(($E106-xmean)*gval_95+ABS((tval_95*svalue/slope))*SQRT(($E106-xmean)^2/S_xx+(Ndata+$D106)*(1-gval_95)/Ndata/$D106))/(1-gval_95)</f>
        <v>#DIV/0!</v>
      </c>
      <c r="H106" s="50" t="e">
        <f>$E106+(($E106-xmean)*gval_99-ABS((tval_99*svalue/slope))*SQRT(($E106-xmean)^2/S_xx+(Ndata+$D106)*(1-gval_99)/Ndata/$D106))/(1-gval_99)</f>
        <v>#DIV/0!</v>
      </c>
      <c r="I106" s="50" t="e">
        <f>$E106+(($E106-xmean)*gval_99+ABS((tval_99*svalue/slope))*SQRT(($E106-xmean)^2/S_xx+(Ndata+$D106)*(1-gval_99)/Ndata/$D106))/(1-gval_99)</f>
        <v>#DIV/0!</v>
      </c>
    </row>
    <row r="107" spans="2:9" ht="12.75">
      <c r="B107" s="52"/>
      <c r="F107" t="e">
        <f>F106-$E106</f>
        <v>#DIV/0!</v>
      </c>
      <c r="G107" t="e">
        <f>G106-$E106</f>
        <v>#DIV/0!</v>
      </c>
      <c r="H107" t="e">
        <f>H106-$E106</f>
        <v>#DIV/0!</v>
      </c>
      <c r="I107" t="e">
        <f>I106-$E106</f>
        <v>#DIV/0!</v>
      </c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3" spans="1:9" ht="12.75">
      <c r="A113" s="2" t="s">
        <v>127</v>
      </c>
      <c r="B113" s="13" t="s">
        <v>93</v>
      </c>
      <c r="C113" s="3" t="s">
        <v>95</v>
      </c>
      <c r="D113" s="3" t="s">
        <v>91</v>
      </c>
      <c r="E113" s="49" t="s">
        <v>52</v>
      </c>
      <c r="F113" s="120" t="s">
        <v>128</v>
      </c>
      <c r="G113" s="121"/>
      <c r="H113" s="120" t="s">
        <v>129</v>
      </c>
      <c r="I113" s="121"/>
    </row>
    <row r="114" spans="2:9" ht="12.75">
      <c r="B114" s="52"/>
      <c r="C114" s="47" t="e">
        <f>SUM(B114:B119)/COUNT(B114:B119)</f>
        <v>#DIV/0!</v>
      </c>
      <c r="D114" s="47">
        <f>COUNT(B114:B119)</f>
        <v>0</v>
      </c>
      <c r="E114" s="66">
        <f>($B114-intercept)/slope</f>
        <v>2.0964393478300773E-08</v>
      </c>
      <c r="F114" s="50" t="e">
        <f>$E114+(($E114-xmean)*gval_95-ABS((tval_95*svalue/slope))*SQRT(($E114-xmean)^2/S_xx+(Ndata+$D114)*(1-gval_95)/Ndata/$D114))/(1-gval_95)</f>
        <v>#DIV/0!</v>
      </c>
      <c r="G114" s="50" t="e">
        <f>$E114+(($E114-xmean)*gval_95+ABS((tval_95*svalue/slope))*SQRT(($E114-xmean)^2/S_xx+(Ndata+$D114)*(1-gval_95)/Ndata/$D114))/(1-gval_95)</f>
        <v>#DIV/0!</v>
      </c>
      <c r="H114" s="50" t="e">
        <f>$E114+(($E114-xmean)*gval_99-ABS((tval_99*svalue/slope))*SQRT(($E114-xmean)^2/S_xx+(Ndata+$D114)*(1-gval_99)/Ndata/$D114))/(1-gval_99)</f>
        <v>#DIV/0!</v>
      </c>
      <c r="I114" s="50" t="e">
        <f>$E114+(($E114-xmean)*gval_99+ABS((tval_99*svalue/slope))*SQRT(($E114-xmean)^2/S_xx+(Ndata+$D114)*(1-gval_99)/Ndata/$D114))/(1-gval_99)</f>
        <v>#DIV/0!</v>
      </c>
    </row>
    <row r="115" spans="2:9" ht="12.75">
      <c r="B115" s="52"/>
      <c r="F115" t="e">
        <f>F114-$E114</f>
        <v>#DIV/0!</v>
      </c>
      <c r="G115" t="e">
        <f>G114-$E114</f>
        <v>#DIV/0!</v>
      </c>
      <c r="H115" t="e">
        <f>H114-$E114</f>
        <v>#DIV/0!</v>
      </c>
      <c r="I115" t="e">
        <f>I114-$E114</f>
        <v>#DIV/0!</v>
      </c>
    </row>
    <row r="116" ht="12.75">
      <c r="B116" s="52"/>
    </row>
    <row r="117" ht="12.75">
      <c r="B117" s="52"/>
    </row>
    <row r="118" ht="12.75">
      <c r="B118" s="52"/>
    </row>
    <row r="119" ht="12.75">
      <c r="B119" s="52"/>
    </row>
    <row r="121" spans="1:9" ht="12.75">
      <c r="A121" s="2" t="s">
        <v>127</v>
      </c>
      <c r="B121" s="13" t="s">
        <v>93</v>
      </c>
      <c r="C121" s="3" t="s">
        <v>95</v>
      </c>
      <c r="D121" s="3" t="s">
        <v>91</v>
      </c>
      <c r="E121" s="49" t="s">
        <v>52</v>
      </c>
      <c r="F121" s="120" t="s">
        <v>128</v>
      </c>
      <c r="G121" s="121"/>
      <c r="H121" s="120" t="s">
        <v>129</v>
      </c>
      <c r="I121" s="121"/>
    </row>
    <row r="122" spans="2:9" ht="12.75">
      <c r="B122" s="52"/>
      <c r="C122" s="47" t="e">
        <f>SUM(B122:B127)/COUNT(B122:B127)</f>
        <v>#DIV/0!</v>
      </c>
      <c r="D122" s="47">
        <f>COUNT(B122:B127)</f>
        <v>0</v>
      </c>
      <c r="E122" s="66">
        <f>($B122-intercept)/slope</f>
        <v>2.0964393478300773E-08</v>
      </c>
      <c r="F122" s="50" t="e">
        <f>$E122+(($E122-xmean)*gval_95-ABS((tval_95*svalue/slope))*SQRT(($E122-xmean)^2/S_xx+(Ndata+$D122)*(1-gval_95)/Ndata/$D122))/(1-gval_95)</f>
        <v>#DIV/0!</v>
      </c>
      <c r="G122" s="50" t="e">
        <f>$E122+(($E122-xmean)*gval_95+ABS((tval_95*svalue/slope))*SQRT(($E122-xmean)^2/S_xx+(Ndata+$D122)*(1-gval_95)/Ndata/$D122))/(1-gval_95)</f>
        <v>#DIV/0!</v>
      </c>
      <c r="H122" s="50" t="e">
        <f>$E122+(($E122-xmean)*gval_99-ABS((tval_99*svalue/slope))*SQRT(($E122-xmean)^2/S_xx+(Ndata+$D122)*(1-gval_99)/Ndata/$D122))/(1-gval_99)</f>
        <v>#DIV/0!</v>
      </c>
      <c r="I122" s="50" t="e">
        <f>$E122+(($E122-xmean)*gval_99+ABS((tval_99*svalue/slope))*SQRT(($E122-xmean)^2/S_xx+(Ndata+$D122)*(1-gval_99)/Ndata/$D122))/(1-gval_99)</f>
        <v>#DIV/0!</v>
      </c>
    </row>
    <row r="123" spans="2:9" ht="12.75">
      <c r="B123" s="52"/>
      <c r="F123" t="e">
        <f>F122-$E122</f>
        <v>#DIV/0!</v>
      </c>
      <c r="G123" t="e">
        <f>G122-$E122</f>
        <v>#DIV/0!</v>
      </c>
      <c r="H123" t="e">
        <f>H122-$E122</f>
        <v>#DIV/0!</v>
      </c>
      <c r="I123" t="e">
        <f>I122-$E122</f>
        <v>#DIV/0!</v>
      </c>
    </row>
    <row r="124" ht="12.75">
      <c r="B124" s="52"/>
    </row>
    <row r="125" ht="12.75">
      <c r="B125" s="52"/>
    </row>
    <row r="126" ht="12.75">
      <c r="B126" s="52"/>
    </row>
    <row r="127" ht="12.75">
      <c r="B127" s="52"/>
    </row>
    <row r="129" spans="1:9" ht="12.75">
      <c r="A129" s="2" t="s">
        <v>127</v>
      </c>
      <c r="B129" s="13" t="s">
        <v>93</v>
      </c>
      <c r="C129" s="3" t="s">
        <v>95</v>
      </c>
      <c r="D129" s="3" t="s">
        <v>91</v>
      </c>
      <c r="E129" s="49" t="s">
        <v>52</v>
      </c>
      <c r="F129" s="120" t="s">
        <v>128</v>
      </c>
      <c r="G129" s="121"/>
      <c r="H129" s="120" t="s">
        <v>129</v>
      </c>
      <c r="I129" s="121"/>
    </row>
    <row r="130" spans="2:9" ht="12.75">
      <c r="B130" s="52"/>
      <c r="C130" s="47" t="e">
        <f>SUM(B130:B135)/COUNT(B130:B135)</f>
        <v>#DIV/0!</v>
      </c>
      <c r="D130" s="47">
        <f>COUNT(B130:B135)</f>
        <v>0</v>
      </c>
      <c r="E130" s="66">
        <f>($B130-intercept)/slope</f>
        <v>2.0964393478300773E-08</v>
      </c>
      <c r="F130" s="50" t="e">
        <f>$E130+(($E130-xmean)*gval_95-ABS((tval_95*svalue/slope))*SQRT(($E130-xmean)^2/S_xx+(Ndata+$D130)*(1-gval_95)/Ndata/$D130))/(1-gval_95)</f>
        <v>#DIV/0!</v>
      </c>
      <c r="G130" s="50" t="e">
        <f>$E130+(($E130-xmean)*gval_95+ABS((tval_95*svalue/slope))*SQRT(($E130-xmean)^2/S_xx+(Ndata+$D130)*(1-gval_95)/Ndata/$D130))/(1-gval_95)</f>
        <v>#DIV/0!</v>
      </c>
      <c r="H130" s="50" t="e">
        <f>$E130+(($E130-xmean)*gval_99-ABS((tval_99*svalue/slope))*SQRT(($E130-xmean)^2/S_xx+(Ndata+$D130)*(1-gval_99)/Ndata/$D130))/(1-gval_99)</f>
        <v>#DIV/0!</v>
      </c>
      <c r="I130" s="50" t="e">
        <f>$E130+(($E130-xmean)*gval_99+ABS((tval_99*svalue/slope))*SQRT(($E130-xmean)^2/S_xx+(Ndata+$D130)*(1-gval_99)/Ndata/$D130))/(1-gval_99)</f>
        <v>#DIV/0!</v>
      </c>
    </row>
    <row r="131" spans="2:9" ht="12.75">
      <c r="B131" s="52"/>
      <c r="F131" t="e">
        <f>F130-$E130</f>
        <v>#DIV/0!</v>
      </c>
      <c r="G131" t="e">
        <f>G130-$E130</f>
        <v>#DIV/0!</v>
      </c>
      <c r="H131" t="e">
        <f>H130-$E130</f>
        <v>#DIV/0!</v>
      </c>
      <c r="I131" t="e">
        <f>I130-$E130</f>
        <v>#DIV/0!</v>
      </c>
    </row>
    <row r="132" ht="12.75">
      <c r="B132" s="52"/>
    </row>
    <row r="133" ht="12.75">
      <c r="B133" s="52"/>
    </row>
    <row r="134" ht="12.75">
      <c r="B134" s="52"/>
    </row>
    <row r="135" ht="12.75">
      <c r="B135" s="52"/>
    </row>
    <row r="137" spans="1:9" ht="12.75">
      <c r="A137" s="2" t="s">
        <v>127</v>
      </c>
      <c r="B137" s="13" t="s">
        <v>93</v>
      </c>
      <c r="C137" s="3" t="s">
        <v>95</v>
      </c>
      <c r="D137" s="3" t="s">
        <v>91</v>
      </c>
      <c r="E137" s="49" t="s">
        <v>52</v>
      </c>
      <c r="F137" s="120" t="s">
        <v>128</v>
      </c>
      <c r="G137" s="121"/>
      <c r="H137" s="120" t="s">
        <v>129</v>
      </c>
      <c r="I137" s="121"/>
    </row>
    <row r="138" spans="2:9" ht="12.75">
      <c r="B138" s="52"/>
      <c r="C138" s="47" t="e">
        <f>SUM(B138:B143)/COUNT(B138:B143)</f>
        <v>#DIV/0!</v>
      </c>
      <c r="D138" s="47">
        <f>COUNT(B138:B143)</f>
        <v>0</v>
      </c>
      <c r="E138" s="66">
        <f>($B138-intercept)/slope</f>
        <v>2.0964393478300773E-08</v>
      </c>
      <c r="F138" s="50" t="e">
        <f>$E138+(($E138-xmean)*gval_95-ABS((tval_95*svalue/slope))*SQRT(($E138-xmean)^2/S_xx+(Ndata+$D138)*(1-gval_95)/Ndata/$D138))/(1-gval_95)</f>
        <v>#DIV/0!</v>
      </c>
      <c r="G138" s="50" t="e">
        <f>$E138+(($E138-xmean)*gval_95+ABS((tval_95*svalue/slope))*SQRT(($E138-xmean)^2/S_xx+(Ndata+$D138)*(1-gval_95)/Ndata/$D138))/(1-gval_95)</f>
        <v>#DIV/0!</v>
      </c>
      <c r="H138" s="50" t="e">
        <f>$E138+(($E138-xmean)*gval_99-ABS((tval_99*svalue/slope))*SQRT(($E138-xmean)^2/S_xx+(Ndata+$D138)*(1-gval_99)/Ndata/$D138))/(1-gval_99)</f>
        <v>#DIV/0!</v>
      </c>
      <c r="I138" s="50" t="e">
        <f>$E138+(($E138-xmean)*gval_99+ABS((tval_99*svalue/slope))*SQRT(($E138-xmean)^2/S_xx+(Ndata+$D138)*(1-gval_99)/Ndata/$D138))/(1-gval_99)</f>
        <v>#DIV/0!</v>
      </c>
    </row>
    <row r="139" spans="2:9" ht="12.75">
      <c r="B139" s="52"/>
      <c r="F139" t="e">
        <f>F138-$E138</f>
        <v>#DIV/0!</v>
      </c>
      <c r="G139" t="e">
        <f>G138-$E138</f>
        <v>#DIV/0!</v>
      </c>
      <c r="H139" t="e">
        <f>H138-$E138</f>
        <v>#DIV/0!</v>
      </c>
      <c r="I139" t="e">
        <f>I138-$E138</f>
        <v>#DIV/0!</v>
      </c>
    </row>
    <row r="140" ht="12.75">
      <c r="B140" s="52"/>
    </row>
    <row r="141" ht="12.75">
      <c r="B141" s="52"/>
    </row>
    <row r="142" ht="12.75">
      <c r="B142" s="52"/>
    </row>
    <row r="143" ht="12.75">
      <c r="B143" s="52"/>
    </row>
    <row r="145" spans="1:9" ht="12.75">
      <c r="A145" s="2" t="s">
        <v>127</v>
      </c>
      <c r="B145" s="13" t="s">
        <v>93</v>
      </c>
      <c r="C145" s="3" t="s">
        <v>95</v>
      </c>
      <c r="D145" s="3" t="s">
        <v>91</v>
      </c>
      <c r="E145" s="49" t="s">
        <v>52</v>
      </c>
      <c r="F145" s="120" t="s">
        <v>128</v>
      </c>
      <c r="G145" s="121"/>
      <c r="H145" s="120" t="s">
        <v>129</v>
      </c>
      <c r="I145" s="121"/>
    </row>
    <row r="146" spans="2:9" ht="12.75">
      <c r="B146" s="52"/>
      <c r="C146" s="47" t="e">
        <f>SUM(B146:B151)/COUNT(B146:B151)</f>
        <v>#DIV/0!</v>
      </c>
      <c r="D146" s="47">
        <f>COUNT(B146:B151)</f>
        <v>0</v>
      </c>
      <c r="E146" s="66">
        <f>($B146-intercept)/slope</f>
        <v>2.0964393478300773E-08</v>
      </c>
      <c r="F146" s="50" t="e">
        <f>$E146+(($E146-xmean)*gval_95-ABS((tval_95*svalue/slope))*SQRT(($E146-xmean)^2/S_xx+(Ndata+$D146)*(1-gval_95)/Ndata/$D146))/(1-gval_95)</f>
        <v>#DIV/0!</v>
      </c>
      <c r="G146" s="50" t="e">
        <f>$E146+(($E146-xmean)*gval_95+ABS((tval_95*svalue/slope))*SQRT(($E146-xmean)^2/S_xx+(Ndata+$D146)*(1-gval_95)/Ndata/$D146))/(1-gval_95)</f>
        <v>#DIV/0!</v>
      </c>
      <c r="H146" s="50" t="e">
        <f>$E146+(($E146-xmean)*gval_99-ABS((tval_99*svalue/slope))*SQRT(($E146-xmean)^2/S_xx+(Ndata+$D146)*(1-gval_99)/Ndata/$D146))/(1-gval_99)</f>
        <v>#DIV/0!</v>
      </c>
      <c r="I146" s="50" t="e">
        <f>$E146+(($E146-xmean)*gval_99+ABS((tval_99*svalue/slope))*SQRT(($E146-xmean)^2/S_xx+(Ndata+$D146)*(1-gval_99)/Ndata/$D146))/(1-gval_99)</f>
        <v>#DIV/0!</v>
      </c>
    </row>
    <row r="147" spans="2:9" ht="12.75">
      <c r="B147" s="52"/>
      <c r="F147" t="e">
        <f>F146-$E146</f>
        <v>#DIV/0!</v>
      </c>
      <c r="G147" t="e">
        <f>G146-$E146</f>
        <v>#DIV/0!</v>
      </c>
      <c r="H147" t="e">
        <f>H146-$E146</f>
        <v>#DIV/0!</v>
      </c>
      <c r="I147" t="e">
        <f>I146-$E146</f>
        <v>#DIV/0!</v>
      </c>
    </row>
    <row r="148" ht="12.75">
      <c r="B148" s="52"/>
    </row>
    <row r="149" ht="12.75">
      <c r="B149" s="52"/>
    </row>
    <row r="150" ht="12.75">
      <c r="B150" s="52"/>
    </row>
    <row r="151" ht="12.75">
      <c r="B151" s="52"/>
    </row>
    <row r="153" spans="1:9" ht="12.75">
      <c r="A153" s="2" t="s">
        <v>127</v>
      </c>
      <c r="B153" s="13" t="s">
        <v>93</v>
      </c>
      <c r="C153" s="3" t="s">
        <v>95</v>
      </c>
      <c r="D153" s="3" t="s">
        <v>91</v>
      </c>
      <c r="E153" s="49" t="s">
        <v>52</v>
      </c>
      <c r="F153" s="120" t="s">
        <v>128</v>
      </c>
      <c r="G153" s="121"/>
      <c r="H153" s="120" t="s">
        <v>129</v>
      </c>
      <c r="I153" s="121"/>
    </row>
    <row r="154" spans="2:9" ht="12.75">
      <c r="B154" s="52"/>
      <c r="C154" s="47" t="e">
        <f>SUM(B154:B159)/COUNT(B154:B159)</f>
        <v>#DIV/0!</v>
      </c>
      <c r="D154" s="47">
        <f>COUNT(B154:B159)</f>
        <v>0</v>
      </c>
      <c r="E154" s="66">
        <f>($B154-intercept)/slope</f>
        <v>2.0964393478300773E-08</v>
      </c>
      <c r="F154" s="50" t="e">
        <f>$E154+(($E154-xmean)*gval_95-ABS((tval_95*svalue/slope))*SQRT(($E154-xmean)^2/S_xx+(Ndata+$D154)*(1-gval_95)/Ndata/$D154))/(1-gval_95)</f>
        <v>#DIV/0!</v>
      </c>
      <c r="G154" s="50" t="e">
        <f>$E154+(($E154-xmean)*gval_95+ABS((tval_95*svalue/slope))*SQRT(($E154-xmean)^2/S_xx+(Ndata+$D154)*(1-gval_95)/Ndata/$D154))/(1-gval_95)</f>
        <v>#DIV/0!</v>
      </c>
      <c r="H154" s="50" t="e">
        <f>$E154+(($E154-xmean)*gval_99-ABS((tval_99*svalue/slope))*SQRT(($E154-xmean)^2/S_xx+(Ndata+$D154)*(1-gval_99)/Ndata/$D154))/(1-gval_99)</f>
        <v>#DIV/0!</v>
      </c>
      <c r="I154" s="50" t="e">
        <f>$E154+(($E154-xmean)*gval_99+ABS((tval_99*svalue/slope))*SQRT(($E154-xmean)^2/S_xx+(Ndata+$D154)*(1-gval_99)/Ndata/$D154))/(1-gval_99)</f>
        <v>#DIV/0!</v>
      </c>
    </row>
    <row r="155" spans="2:9" ht="12.75">
      <c r="B155" s="52"/>
      <c r="F155" t="e">
        <f>F154-$E154</f>
        <v>#DIV/0!</v>
      </c>
      <c r="G155" t="e">
        <f>G154-$E154</f>
        <v>#DIV/0!</v>
      </c>
      <c r="H155" t="e">
        <f>H154-$E154</f>
        <v>#DIV/0!</v>
      </c>
      <c r="I155" t="e">
        <f>I154-$E154</f>
        <v>#DIV/0!</v>
      </c>
    </row>
    <row r="156" ht="12.75">
      <c r="B156" s="52"/>
    </row>
    <row r="157" ht="12.75">
      <c r="B157" s="52"/>
    </row>
    <row r="158" ht="12.75">
      <c r="B158" s="52"/>
    </row>
    <row r="159" ht="12.75">
      <c r="B159" s="52"/>
    </row>
    <row r="161" spans="1:9" ht="12.75">
      <c r="A161" s="2" t="s">
        <v>127</v>
      </c>
      <c r="B161" s="13" t="s">
        <v>93</v>
      </c>
      <c r="C161" s="3" t="s">
        <v>95</v>
      </c>
      <c r="D161" s="3" t="s">
        <v>91</v>
      </c>
      <c r="E161" s="49" t="s">
        <v>52</v>
      </c>
      <c r="F161" s="120" t="s">
        <v>128</v>
      </c>
      <c r="G161" s="121"/>
      <c r="H161" s="120" t="s">
        <v>129</v>
      </c>
      <c r="I161" s="121"/>
    </row>
    <row r="162" spans="2:9" ht="12.75">
      <c r="B162" s="52"/>
      <c r="C162" s="47" t="e">
        <f>SUM(B162:B167)/COUNT(B162:B167)</f>
        <v>#DIV/0!</v>
      </c>
      <c r="D162" s="47">
        <f>COUNT(B162:B167)</f>
        <v>0</v>
      </c>
      <c r="E162" s="66">
        <f>($B162-intercept)/slope</f>
        <v>2.0964393478300773E-08</v>
      </c>
      <c r="F162" s="50" t="e">
        <f>$E162+(($E162-xmean)*gval_95-ABS((tval_95*svalue/slope))*SQRT(($E162-xmean)^2/S_xx+(Ndata+$D162)*(1-gval_95)/Ndata/$D162))/(1-gval_95)</f>
        <v>#DIV/0!</v>
      </c>
      <c r="G162" s="50" t="e">
        <f>$E162+(($E162-xmean)*gval_95+ABS((tval_95*svalue/slope))*SQRT(($E162-xmean)^2/S_xx+(Ndata+$D162)*(1-gval_95)/Ndata/$D162))/(1-gval_95)</f>
        <v>#DIV/0!</v>
      </c>
      <c r="H162" s="50" t="e">
        <f>$E162+(($E162-xmean)*gval_99-ABS((tval_99*svalue/slope))*SQRT(($E162-xmean)^2/S_xx+(Ndata+$D162)*(1-gval_99)/Ndata/$D162))/(1-gval_99)</f>
        <v>#DIV/0!</v>
      </c>
      <c r="I162" s="50" t="e">
        <f>$E162+(($E162-xmean)*gval_99+ABS((tval_99*svalue/slope))*SQRT(($E162-xmean)^2/S_xx+(Ndata+$D162)*(1-gval_99)/Ndata/$D162))/(1-gval_99)</f>
        <v>#DIV/0!</v>
      </c>
    </row>
    <row r="163" spans="2:9" ht="12.75">
      <c r="B163" s="52"/>
      <c r="F163" t="e">
        <f>F162-$E162</f>
        <v>#DIV/0!</v>
      </c>
      <c r="G163" t="e">
        <f>G162-$E162</f>
        <v>#DIV/0!</v>
      </c>
      <c r="H163" t="e">
        <f>H162-$E162</f>
        <v>#DIV/0!</v>
      </c>
      <c r="I163" t="e">
        <f>I162-$E162</f>
        <v>#DIV/0!</v>
      </c>
    </row>
    <row r="164" ht="12.75">
      <c r="B164" s="52"/>
    </row>
    <row r="165" ht="12.75">
      <c r="B165" s="52"/>
    </row>
    <row r="166" ht="12.75">
      <c r="B166" s="52"/>
    </row>
    <row r="167" ht="12.75">
      <c r="B167" s="52"/>
    </row>
    <row r="169" spans="1:9" ht="12.75">
      <c r="A169" s="2" t="s">
        <v>127</v>
      </c>
      <c r="B169" s="13" t="s">
        <v>93</v>
      </c>
      <c r="C169" s="3" t="s">
        <v>95</v>
      </c>
      <c r="D169" s="3" t="s">
        <v>91</v>
      </c>
      <c r="E169" s="49" t="s">
        <v>52</v>
      </c>
      <c r="F169" s="120" t="s">
        <v>128</v>
      </c>
      <c r="G169" s="121"/>
      <c r="H169" s="120" t="s">
        <v>129</v>
      </c>
      <c r="I169" s="121"/>
    </row>
    <row r="170" spans="2:9" ht="12.75">
      <c r="B170" s="52"/>
      <c r="C170" s="47" t="e">
        <f>SUM(B170:B175)/COUNT(B170:B175)</f>
        <v>#DIV/0!</v>
      </c>
      <c r="D170" s="47">
        <f>COUNT(B170:B175)</f>
        <v>0</v>
      </c>
      <c r="E170" s="66">
        <f>($B170-intercept)/slope</f>
        <v>2.0964393478300773E-08</v>
      </c>
      <c r="F170" s="50" t="e">
        <f>$E170+(($E170-xmean)*gval_95-ABS((tval_95*svalue/slope))*SQRT(($E170-xmean)^2/S_xx+(Ndata+$D170)*(1-gval_95)/Ndata/$D170))/(1-gval_95)</f>
        <v>#DIV/0!</v>
      </c>
      <c r="G170" s="50" t="e">
        <f>$E170+(($E170-xmean)*gval_95+ABS((tval_95*svalue/slope))*SQRT(($E170-xmean)^2/S_xx+(Ndata+$D170)*(1-gval_95)/Ndata/$D170))/(1-gval_95)</f>
        <v>#DIV/0!</v>
      </c>
      <c r="H170" s="50" t="e">
        <f>$E170+(($E170-xmean)*gval_99-ABS((tval_99*svalue/slope))*SQRT(($E170-xmean)^2/S_xx+(Ndata+$D170)*(1-gval_99)/Ndata/$D170))/(1-gval_99)</f>
        <v>#DIV/0!</v>
      </c>
      <c r="I170" s="50" t="e">
        <f>$E170+(($E170-xmean)*gval_99+ABS((tval_99*svalue/slope))*SQRT(($E170-xmean)^2/S_xx+(Ndata+$D170)*(1-gval_99)/Ndata/$D170))/(1-gval_99)</f>
        <v>#DIV/0!</v>
      </c>
    </row>
    <row r="171" spans="2:9" ht="12.75">
      <c r="B171" s="52"/>
      <c r="F171" t="e">
        <f>F170-$E170</f>
        <v>#DIV/0!</v>
      </c>
      <c r="G171" t="e">
        <f>G170-$E170</f>
        <v>#DIV/0!</v>
      </c>
      <c r="H171" t="e">
        <f>H170-$E170</f>
        <v>#DIV/0!</v>
      </c>
      <c r="I171" t="e">
        <f>I170-$E170</f>
        <v>#DIV/0!</v>
      </c>
    </row>
    <row r="172" ht="12.75">
      <c r="B172" s="52"/>
    </row>
    <row r="173" ht="12.75">
      <c r="B173" s="52"/>
    </row>
    <row r="174" ht="12.75">
      <c r="B174" s="52"/>
    </row>
    <row r="175" ht="12.75">
      <c r="B175" s="52"/>
    </row>
    <row r="177" spans="1:9" ht="12.75">
      <c r="A177" s="2" t="s">
        <v>127</v>
      </c>
      <c r="B177" s="13" t="s">
        <v>93</v>
      </c>
      <c r="C177" s="3" t="s">
        <v>95</v>
      </c>
      <c r="D177" s="3" t="s">
        <v>91</v>
      </c>
      <c r="E177" s="49" t="s">
        <v>52</v>
      </c>
      <c r="F177" s="120" t="s">
        <v>128</v>
      </c>
      <c r="G177" s="121"/>
      <c r="H177" s="120" t="s">
        <v>129</v>
      </c>
      <c r="I177" s="121"/>
    </row>
    <row r="178" spans="2:9" ht="12.75">
      <c r="B178" s="52"/>
      <c r="C178" s="47" t="e">
        <f>SUM(B178:B183)/COUNT(B178:B183)</f>
        <v>#DIV/0!</v>
      </c>
      <c r="D178" s="47">
        <f>COUNT(B178:B183)</f>
        <v>0</v>
      </c>
      <c r="E178" s="66">
        <f>($B178-intercept)/slope</f>
        <v>2.0964393478300773E-08</v>
      </c>
      <c r="F178" s="50" t="e">
        <f>$E178+(($E178-xmean)*gval_95-ABS((tval_95*svalue/slope))*SQRT(($E178-xmean)^2/S_xx+(Ndata+$D178)*(1-gval_95)/Ndata/$D178))/(1-gval_95)</f>
        <v>#DIV/0!</v>
      </c>
      <c r="G178" s="50" t="e">
        <f>$E178+(($E178-xmean)*gval_95+ABS((tval_95*svalue/slope))*SQRT(($E178-xmean)^2/S_xx+(Ndata+$D178)*(1-gval_95)/Ndata/$D178))/(1-gval_95)</f>
        <v>#DIV/0!</v>
      </c>
      <c r="H178" s="50" t="e">
        <f>$E178+(($E178-xmean)*gval_99-ABS((tval_99*svalue/slope))*SQRT(($E178-xmean)^2/S_xx+(Ndata+$D178)*(1-gval_99)/Ndata/$D178))/(1-gval_99)</f>
        <v>#DIV/0!</v>
      </c>
      <c r="I178" s="50" t="e">
        <f>$E178+(($E178-xmean)*gval_99+ABS((tval_99*svalue/slope))*SQRT(($E178-xmean)^2/S_xx+(Ndata+$D178)*(1-gval_99)/Ndata/$D178))/(1-gval_99)</f>
        <v>#DIV/0!</v>
      </c>
    </row>
    <row r="179" spans="2:9" ht="12.75">
      <c r="B179" s="52"/>
      <c r="F179" t="e">
        <f>F178-$E178</f>
        <v>#DIV/0!</v>
      </c>
      <c r="G179" t="e">
        <f>G178-$E178</f>
        <v>#DIV/0!</v>
      </c>
      <c r="H179" t="e">
        <f>H178-$E178</f>
        <v>#DIV/0!</v>
      </c>
      <c r="I179" t="e">
        <f>I178-$E178</f>
        <v>#DIV/0!</v>
      </c>
    </row>
    <row r="180" ht="12.75">
      <c r="B180" s="52"/>
    </row>
    <row r="181" ht="12.75">
      <c r="B181" s="52"/>
    </row>
    <row r="182" ht="12.75">
      <c r="B182" s="52"/>
    </row>
    <row r="183" ht="12.75">
      <c r="B183" s="52"/>
    </row>
    <row r="185" spans="1:9" ht="12.75">
      <c r="A185" s="2" t="s">
        <v>127</v>
      </c>
      <c r="B185" s="13" t="s">
        <v>93</v>
      </c>
      <c r="C185" s="3" t="s">
        <v>95</v>
      </c>
      <c r="D185" s="3" t="s">
        <v>91</v>
      </c>
      <c r="E185" s="49" t="s">
        <v>52</v>
      </c>
      <c r="F185" s="120" t="s">
        <v>128</v>
      </c>
      <c r="G185" s="121"/>
      <c r="H185" s="120" t="s">
        <v>129</v>
      </c>
      <c r="I185" s="121"/>
    </row>
    <row r="186" spans="2:9" ht="12.75">
      <c r="B186" s="52"/>
      <c r="C186" s="47" t="e">
        <f>SUM(B186:B191)/COUNT(B186:B191)</f>
        <v>#DIV/0!</v>
      </c>
      <c r="D186" s="47">
        <f>COUNT(B186:B191)</f>
        <v>0</v>
      </c>
      <c r="E186" s="66">
        <f>($B186-intercept)/slope</f>
        <v>2.0964393478300773E-08</v>
      </c>
      <c r="F186" s="50" t="e">
        <f>$E186+(($E186-xmean)*gval_95-ABS((tval_95*svalue/slope))*SQRT(($E186-xmean)^2/S_xx+(Ndata+$D186)*(1-gval_95)/Ndata/$D186))/(1-gval_95)</f>
        <v>#DIV/0!</v>
      </c>
      <c r="G186" s="50" t="e">
        <f>$E186+(($E186-xmean)*gval_95+ABS((tval_95*svalue/slope))*SQRT(($E186-xmean)^2/S_xx+(Ndata+$D186)*(1-gval_95)/Ndata/$D186))/(1-gval_95)</f>
        <v>#DIV/0!</v>
      </c>
      <c r="H186" s="50" t="e">
        <f>$E186+(($E186-xmean)*gval_99-ABS((tval_99*svalue/slope))*SQRT(($E186-xmean)^2/S_xx+(Ndata+$D186)*(1-gval_99)/Ndata/$D186))/(1-gval_99)</f>
        <v>#DIV/0!</v>
      </c>
      <c r="I186" s="50" t="e">
        <f>$E186+(($E186-xmean)*gval_99+ABS((tval_99*svalue/slope))*SQRT(($E186-xmean)^2/S_xx+(Ndata+$D186)*(1-gval_99)/Ndata/$D186))/(1-gval_99)</f>
        <v>#DIV/0!</v>
      </c>
    </row>
    <row r="187" spans="2:9" ht="12.75">
      <c r="B187" s="52"/>
      <c r="F187" t="e">
        <f>F186-$E186</f>
        <v>#DIV/0!</v>
      </c>
      <c r="G187" t="e">
        <f>G186-$E186</f>
        <v>#DIV/0!</v>
      </c>
      <c r="H187" t="e">
        <f>H186-$E186</f>
        <v>#DIV/0!</v>
      </c>
      <c r="I187" t="e">
        <f>I186-$E186</f>
        <v>#DIV/0!</v>
      </c>
    </row>
    <row r="188" ht="12.75">
      <c r="B188" s="52"/>
    </row>
    <row r="189" ht="12.75">
      <c r="B189" s="52"/>
    </row>
    <row r="190" ht="12.75">
      <c r="B190" s="52"/>
    </row>
    <row r="191" ht="12.75">
      <c r="B191" s="52"/>
    </row>
    <row r="193" spans="1:9" ht="12.75">
      <c r="A193" s="2" t="s">
        <v>127</v>
      </c>
      <c r="B193" s="13" t="s">
        <v>93</v>
      </c>
      <c r="C193" s="3" t="s">
        <v>95</v>
      </c>
      <c r="D193" s="3" t="s">
        <v>91</v>
      </c>
      <c r="E193" s="49" t="s">
        <v>52</v>
      </c>
      <c r="F193" s="120" t="s">
        <v>128</v>
      </c>
      <c r="G193" s="121"/>
      <c r="H193" s="120" t="s">
        <v>129</v>
      </c>
      <c r="I193" s="121"/>
    </row>
    <row r="194" spans="2:9" ht="12.75">
      <c r="B194" s="52"/>
      <c r="C194" s="47" t="e">
        <f>SUM(B194:B199)/COUNT(B194:B199)</f>
        <v>#DIV/0!</v>
      </c>
      <c r="D194" s="47">
        <f>COUNT(B194:B199)</f>
        <v>0</v>
      </c>
      <c r="E194" s="66">
        <f>($B194-intercept)/slope</f>
        <v>2.0964393478300773E-08</v>
      </c>
      <c r="F194" s="50" t="e">
        <f>$E194+(($E194-xmean)*gval_95-ABS((tval_95*svalue/slope))*SQRT(($E194-xmean)^2/S_xx+(Ndata+$D194)*(1-gval_95)/Ndata/$D194))/(1-gval_95)</f>
        <v>#DIV/0!</v>
      </c>
      <c r="G194" s="50" t="e">
        <f>$E194+(($E194-xmean)*gval_95+ABS((tval_95*svalue/slope))*SQRT(($E194-xmean)^2/S_xx+(Ndata+$D194)*(1-gval_95)/Ndata/$D194))/(1-gval_95)</f>
        <v>#DIV/0!</v>
      </c>
      <c r="H194" s="50" t="e">
        <f>$E194+(($E194-xmean)*gval_99-ABS((tval_99*svalue/slope))*SQRT(($E194-xmean)^2/S_xx+(Ndata+$D194)*(1-gval_99)/Ndata/$D194))/(1-gval_99)</f>
        <v>#DIV/0!</v>
      </c>
      <c r="I194" s="50" t="e">
        <f>$E194+(($E194-xmean)*gval_99+ABS((tval_99*svalue/slope))*SQRT(($E194-xmean)^2/S_xx+(Ndata+$D194)*(1-gval_99)/Ndata/$D194))/(1-gval_99)</f>
        <v>#DIV/0!</v>
      </c>
    </row>
    <row r="195" spans="2:9" ht="12.75">
      <c r="B195" s="52"/>
      <c r="F195" t="e">
        <f>F194-$E194</f>
        <v>#DIV/0!</v>
      </c>
      <c r="G195" t="e">
        <f>G194-$E194</f>
        <v>#DIV/0!</v>
      </c>
      <c r="H195" t="e">
        <f>H194-$E194</f>
        <v>#DIV/0!</v>
      </c>
      <c r="I195" t="e">
        <f>I194-$E194</f>
        <v>#DIV/0!</v>
      </c>
    </row>
    <row r="196" ht="12.75">
      <c r="B196" s="52"/>
    </row>
    <row r="197" ht="12.75">
      <c r="B197" s="52"/>
    </row>
    <row r="198" ht="12.75">
      <c r="B198" s="52"/>
    </row>
    <row r="199" ht="12.75">
      <c r="B199" s="52"/>
    </row>
    <row r="201" spans="1:9" ht="12.75">
      <c r="A201" s="2" t="s">
        <v>127</v>
      </c>
      <c r="B201" s="13" t="s">
        <v>93</v>
      </c>
      <c r="C201" s="3" t="s">
        <v>95</v>
      </c>
      <c r="D201" s="3" t="s">
        <v>91</v>
      </c>
      <c r="E201" s="49" t="s">
        <v>52</v>
      </c>
      <c r="F201" s="120" t="s">
        <v>128</v>
      </c>
      <c r="G201" s="121"/>
      <c r="H201" s="120" t="s">
        <v>129</v>
      </c>
      <c r="I201" s="121"/>
    </row>
    <row r="202" spans="2:9" ht="12.75">
      <c r="B202" s="52"/>
      <c r="C202" s="47" t="e">
        <f>SUM(B202:B207)/COUNT(B202:B207)</f>
        <v>#DIV/0!</v>
      </c>
      <c r="D202" s="47">
        <f>COUNT(B202:B207)</f>
        <v>0</v>
      </c>
      <c r="E202" s="66">
        <f>($B202-intercept)/slope</f>
        <v>2.0964393478300773E-08</v>
      </c>
      <c r="F202" s="50" t="e">
        <f>$E202+(($E202-xmean)*gval_95-ABS((tval_95*svalue/slope))*SQRT(($E202-xmean)^2/S_xx+(Ndata+$D202)*(1-gval_95)/Ndata/$D202))/(1-gval_95)</f>
        <v>#DIV/0!</v>
      </c>
      <c r="G202" s="50" t="e">
        <f>$E202+(($E202-xmean)*gval_95+ABS((tval_95*svalue/slope))*SQRT(($E202-xmean)^2/S_xx+(Ndata+$D202)*(1-gval_95)/Ndata/$D202))/(1-gval_95)</f>
        <v>#DIV/0!</v>
      </c>
      <c r="H202" s="50" t="e">
        <f>$E202+(($E202-xmean)*gval_99-ABS((tval_99*svalue/slope))*SQRT(($E202-xmean)^2/S_xx+(Ndata+$D202)*(1-gval_99)/Ndata/$D202))/(1-gval_99)</f>
        <v>#DIV/0!</v>
      </c>
      <c r="I202" s="50" t="e">
        <f>$E202+(($E202-xmean)*gval_99+ABS((tval_99*svalue/slope))*SQRT(($E202-xmean)^2/S_xx+(Ndata+$D202)*(1-gval_99)/Ndata/$D202))/(1-gval_99)</f>
        <v>#DIV/0!</v>
      </c>
    </row>
    <row r="203" spans="2:9" ht="12.75">
      <c r="B203" s="52"/>
      <c r="F203" t="e">
        <f>F202-$E202</f>
        <v>#DIV/0!</v>
      </c>
      <c r="G203" t="e">
        <f>G202-$E202</f>
        <v>#DIV/0!</v>
      </c>
      <c r="H203" t="e">
        <f>H202-$E202</f>
        <v>#DIV/0!</v>
      </c>
      <c r="I203" t="e">
        <f>I202-$E202</f>
        <v>#DIV/0!</v>
      </c>
    </row>
    <row r="204" ht="12.75">
      <c r="B204" s="52"/>
    </row>
    <row r="205" ht="12.75">
      <c r="B205" s="52"/>
    </row>
    <row r="206" ht="12.75">
      <c r="B206" s="52"/>
    </row>
    <row r="207" ht="12.75">
      <c r="B207" s="52"/>
    </row>
    <row r="209" spans="1:9" ht="12.75">
      <c r="A209" s="2" t="s">
        <v>127</v>
      </c>
      <c r="B209" s="13" t="s">
        <v>93</v>
      </c>
      <c r="C209" s="3" t="s">
        <v>95</v>
      </c>
      <c r="D209" s="3" t="s">
        <v>91</v>
      </c>
      <c r="E209" s="49" t="s">
        <v>52</v>
      </c>
      <c r="F209" s="120" t="s">
        <v>128</v>
      </c>
      <c r="G209" s="121"/>
      <c r="H209" s="120" t="s">
        <v>129</v>
      </c>
      <c r="I209" s="121"/>
    </row>
    <row r="210" spans="2:9" ht="12.75">
      <c r="B210" s="52"/>
      <c r="C210" s="47" t="e">
        <f>SUM(B210:B215)/COUNT(B210:B215)</f>
        <v>#DIV/0!</v>
      </c>
      <c r="D210" s="47">
        <f>COUNT(B210:B215)</f>
        <v>0</v>
      </c>
      <c r="E210" s="66">
        <f>($B210-intercept)/slope</f>
        <v>2.0964393478300773E-08</v>
      </c>
      <c r="F210" s="50" t="e">
        <f>$E210+(($E210-xmean)*gval_95-ABS((tval_95*svalue/slope))*SQRT(($E210-xmean)^2/S_xx+(Ndata+$D210)*(1-gval_95)/Ndata/$D210))/(1-gval_95)</f>
        <v>#DIV/0!</v>
      </c>
      <c r="G210" s="50" t="e">
        <f>$E210+(($E210-xmean)*gval_95+ABS((tval_95*svalue/slope))*SQRT(($E210-xmean)^2/S_xx+(Ndata+$D210)*(1-gval_95)/Ndata/$D210))/(1-gval_95)</f>
        <v>#DIV/0!</v>
      </c>
      <c r="H210" s="50" t="e">
        <f>$E210+(($E210-xmean)*gval_99-ABS((tval_99*svalue/slope))*SQRT(($E210-xmean)^2/S_xx+(Ndata+$D210)*(1-gval_99)/Ndata/$D210))/(1-gval_99)</f>
        <v>#DIV/0!</v>
      </c>
      <c r="I210" s="50" t="e">
        <f>$E210+(($E210-xmean)*gval_99+ABS((tval_99*svalue/slope))*SQRT(($E210-xmean)^2/S_xx+(Ndata+$D210)*(1-gval_99)/Ndata/$D210))/(1-gval_99)</f>
        <v>#DIV/0!</v>
      </c>
    </row>
    <row r="211" spans="2:9" ht="12.75">
      <c r="B211" s="52"/>
      <c r="F211" t="e">
        <f>F210-$E210</f>
        <v>#DIV/0!</v>
      </c>
      <c r="G211" t="e">
        <f>G210-$E210</f>
        <v>#DIV/0!</v>
      </c>
      <c r="H211" t="e">
        <f>H210-$E210</f>
        <v>#DIV/0!</v>
      </c>
      <c r="I211" t="e">
        <f>I210-$E210</f>
        <v>#DIV/0!</v>
      </c>
    </row>
    <row r="212" ht="12.75">
      <c r="B212" s="52"/>
    </row>
    <row r="213" ht="12.75">
      <c r="B213" s="52"/>
    </row>
    <row r="214" ht="12.75">
      <c r="B214" s="52"/>
    </row>
    <row r="215" ht="12.75">
      <c r="B215" s="52"/>
    </row>
    <row r="217" spans="1:9" ht="12.75">
      <c r="A217" s="2" t="s">
        <v>127</v>
      </c>
      <c r="B217" s="13" t="s">
        <v>93</v>
      </c>
      <c r="C217" s="3" t="s">
        <v>95</v>
      </c>
      <c r="D217" s="3" t="s">
        <v>91</v>
      </c>
      <c r="E217" s="49" t="s">
        <v>52</v>
      </c>
      <c r="F217" s="120" t="s">
        <v>128</v>
      </c>
      <c r="G217" s="121"/>
      <c r="H217" s="120" t="s">
        <v>129</v>
      </c>
      <c r="I217" s="121"/>
    </row>
    <row r="218" spans="2:9" ht="12.75">
      <c r="B218" s="52"/>
      <c r="C218" s="47" t="e">
        <f>SUM(B218:B223)/COUNT(B218:B223)</f>
        <v>#DIV/0!</v>
      </c>
      <c r="D218" s="47">
        <f>COUNT(B218:B223)</f>
        <v>0</v>
      </c>
      <c r="E218" s="66">
        <f>($B218-intercept)/slope</f>
        <v>2.0964393478300773E-08</v>
      </c>
      <c r="F218" s="50" t="e">
        <f>$E218+(($E218-xmean)*gval_95-ABS((tval_95*svalue/slope))*SQRT(($E218-xmean)^2/S_xx+(Ndata+$D218)*(1-gval_95)/Ndata/$D218))/(1-gval_95)</f>
        <v>#DIV/0!</v>
      </c>
      <c r="G218" s="50" t="e">
        <f>$E218+(($E218-xmean)*gval_95+ABS((tval_95*svalue/slope))*SQRT(($E218-xmean)^2/S_xx+(Ndata+$D218)*(1-gval_95)/Ndata/$D218))/(1-gval_95)</f>
        <v>#DIV/0!</v>
      </c>
      <c r="H218" s="50" t="e">
        <f>$E218+(($E218-xmean)*gval_99-ABS((tval_99*svalue/slope))*SQRT(($E218-xmean)^2/S_xx+(Ndata+$D218)*(1-gval_99)/Ndata/$D218))/(1-gval_99)</f>
        <v>#DIV/0!</v>
      </c>
      <c r="I218" s="50" t="e">
        <f>$E218+(($E218-xmean)*gval_99+ABS((tval_99*svalue/slope))*SQRT(($E218-xmean)^2/S_xx+(Ndata+$D218)*(1-gval_99)/Ndata/$D218))/(1-gval_99)</f>
        <v>#DIV/0!</v>
      </c>
    </row>
    <row r="219" spans="2:9" ht="12.75">
      <c r="B219" s="52"/>
      <c r="F219" t="e">
        <f>F218-$E218</f>
        <v>#DIV/0!</v>
      </c>
      <c r="G219" t="e">
        <f>G218-$E218</f>
        <v>#DIV/0!</v>
      </c>
      <c r="H219" t="e">
        <f>H218-$E218</f>
        <v>#DIV/0!</v>
      </c>
      <c r="I219" t="e">
        <f>I218-$E218</f>
        <v>#DIV/0!</v>
      </c>
    </row>
    <row r="220" ht="12.75">
      <c r="B220" s="52"/>
    </row>
    <row r="221" ht="12.75">
      <c r="B221" s="52"/>
    </row>
    <row r="222" ht="12.75">
      <c r="B222" s="52"/>
    </row>
    <row r="223" ht="12.75">
      <c r="B223" s="52"/>
    </row>
    <row r="225" spans="1:9" ht="12.75">
      <c r="A225" s="2" t="s">
        <v>127</v>
      </c>
      <c r="B225" s="13" t="s">
        <v>93</v>
      </c>
      <c r="C225" s="3" t="s">
        <v>95</v>
      </c>
      <c r="D225" s="3" t="s">
        <v>91</v>
      </c>
      <c r="E225" s="49" t="s">
        <v>52</v>
      </c>
      <c r="F225" s="120" t="s">
        <v>128</v>
      </c>
      <c r="G225" s="121"/>
      <c r="H225" s="120" t="s">
        <v>129</v>
      </c>
      <c r="I225" s="121"/>
    </row>
    <row r="226" spans="2:9" ht="12.75">
      <c r="B226" s="52"/>
      <c r="C226" s="47" t="e">
        <f>SUM(B226:B231)/COUNT(B226:B231)</f>
        <v>#DIV/0!</v>
      </c>
      <c r="D226" s="47">
        <f>COUNT(B226:B231)</f>
        <v>0</v>
      </c>
      <c r="E226" s="66">
        <f>($B226-intercept)/slope</f>
        <v>2.0964393478300773E-08</v>
      </c>
      <c r="F226" s="50" t="e">
        <f>$E226+(($E226-xmean)*gval_95-ABS((tval_95*svalue/slope))*SQRT(($E226-xmean)^2/S_xx+(Ndata+$D226)*(1-gval_95)/Ndata/$D226))/(1-gval_95)</f>
        <v>#DIV/0!</v>
      </c>
      <c r="G226" s="50" t="e">
        <f>$E226+(($E226-xmean)*gval_95+ABS((tval_95*svalue/slope))*SQRT(($E226-xmean)^2/S_xx+(Ndata+$D226)*(1-gval_95)/Ndata/$D226))/(1-gval_95)</f>
        <v>#DIV/0!</v>
      </c>
      <c r="H226" s="50" t="e">
        <f>$E226+(($E226-xmean)*gval_99-ABS((tval_99*svalue/slope))*SQRT(($E226-xmean)^2/S_xx+(Ndata+$D226)*(1-gval_99)/Ndata/$D226))/(1-gval_99)</f>
        <v>#DIV/0!</v>
      </c>
      <c r="I226" s="50" t="e">
        <f>$E226+(($E226-xmean)*gval_99+ABS((tval_99*svalue/slope))*SQRT(($E226-xmean)^2/S_xx+(Ndata+$D226)*(1-gval_99)/Ndata/$D226))/(1-gval_99)</f>
        <v>#DIV/0!</v>
      </c>
    </row>
    <row r="227" spans="2:9" ht="12.75">
      <c r="B227" s="52"/>
      <c r="F227" t="e">
        <f>F226-$E226</f>
        <v>#DIV/0!</v>
      </c>
      <c r="G227" t="e">
        <f>G226-$E226</f>
        <v>#DIV/0!</v>
      </c>
      <c r="H227" t="e">
        <f>H226-$E226</f>
        <v>#DIV/0!</v>
      </c>
      <c r="I227" t="e">
        <f>I226-$E226</f>
        <v>#DIV/0!</v>
      </c>
    </row>
    <row r="228" ht="12.75">
      <c r="B228" s="52"/>
    </row>
    <row r="229" ht="12.75">
      <c r="B229" s="52"/>
    </row>
    <row r="230" ht="12.75">
      <c r="B230" s="52"/>
    </row>
    <row r="231" ht="12.75">
      <c r="B231" s="52"/>
    </row>
    <row r="233" spans="1:9" ht="12.75">
      <c r="A233" s="2" t="s">
        <v>127</v>
      </c>
      <c r="B233" s="13" t="s">
        <v>93</v>
      </c>
      <c r="C233" s="3" t="s">
        <v>95</v>
      </c>
      <c r="D233" s="3" t="s">
        <v>91</v>
      </c>
      <c r="E233" s="49" t="s">
        <v>52</v>
      </c>
      <c r="F233" s="120" t="s">
        <v>128</v>
      </c>
      <c r="G233" s="121"/>
      <c r="H233" s="120" t="s">
        <v>129</v>
      </c>
      <c r="I233" s="121"/>
    </row>
    <row r="234" spans="2:9" ht="12.75">
      <c r="B234" s="52"/>
      <c r="C234" s="47" t="e">
        <f>SUM(B234:B239)/COUNT(B234:B239)</f>
        <v>#DIV/0!</v>
      </c>
      <c r="D234" s="47">
        <f>COUNT(B234:B239)</f>
        <v>0</v>
      </c>
      <c r="E234" s="66">
        <f>($B234-intercept)/slope</f>
        <v>2.0964393478300773E-08</v>
      </c>
      <c r="F234" s="50" t="e">
        <f>$E234+(($E234-xmean)*gval_95-ABS((tval_95*svalue/slope))*SQRT(($E234-xmean)^2/S_xx+(Ndata+$D234)*(1-gval_95)/Ndata/$D234))/(1-gval_95)</f>
        <v>#DIV/0!</v>
      </c>
      <c r="G234" s="50" t="e">
        <f>$E234+(($E234-xmean)*gval_95+ABS((tval_95*svalue/slope))*SQRT(($E234-xmean)^2/S_xx+(Ndata+$D234)*(1-gval_95)/Ndata/$D234))/(1-gval_95)</f>
        <v>#DIV/0!</v>
      </c>
      <c r="H234" s="50" t="e">
        <f>$E234+(($E234-xmean)*gval_99-ABS((tval_99*svalue/slope))*SQRT(($E234-xmean)^2/S_xx+(Ndata+$D234)*(1-gval_99)/Ndata/$D234))/(1-gval_99)</f>
        <v>#DIV/0!</v>
      </c>
      <c r="I234" s="50" t="e">
        <f>$E234+(($E234-xmean)*gval_99+ABS((tval_99*svalue/slope))*SQRT(($E234-xmean)^2/S_xx+(Ndata+$D234)*(1-gval_99)/Ndata/$D234))/(1-gval_99)</f>
        <v>#DIV/0!</v>
      </c>
    </row>
    <row r="235" spans="2:9" ht="12.75">
      <c r="B235" s="52"/>
      <c r="F235" t="e">
        <f>F234-$E234</f>
        <v>#DIV/0!</v>
      </c>
      <c r="G235" t="e">
        <f>G234-$E234</f>
        <v>#DIV/0!</v>
      </c>
      <c r="H235" t="e">
        <f>H234-$E234</f>
        <v>#DIV/0!</v>
      </c>
      <c r="I235" t="e">
        <f>I234-$E234</f>
        <v>#DIV/0!</v>
      </c>
    </row>
    <row r="236" ht="12.75">
      <c r="B236" s="52"/>
    </row>
    <row r="237" ht="12.75">
      <c r="B237" s="52"/>
    </row>
    <row r="238" ht="12.75">
      <c r="B238" s="52"/>
    </row>
    <row r="239" ht="12.75">
      <c r="B239" s="52"/>
    </row>
    <row r="241" spans="1:9" ht="12.75">
      <c r="A241" s="2" t="s">
        <v>127</v>
      </c>
      <c r="B241" s="13" t="s">
        <v>93</v>
      </c>
      <c r="C241" s="3" t="s">
        <v>95</v>
      </c>
      <c r="D241" s="3" t="s">
        <v>91</v>
      </c>
      <c r="E241" s="49" t="s">
        <v>52</v>
      </c>
      <c r="F241" s="120" t="s">
        <v>128</v>
      </c>
      <c r="G241" s="121"/>
      <c r="H241" s="120" t="s">
        <v>129</v>
      </c>
      <c r="I241" s="121"/>
    </row>
    <row r="242" spans="2:9" ht="12.75">
      <c r="B242" s="52"/>
      <c r="C242" s="47" t="e">
        <f>SUM(B242:B247)/COUNT(B242:B247)</f>
        <v>#DIV/0!</v>
      </c>
      <c r="D242" s="47">
        <f>COUNT(B242:B247)</f>
        <v>0</v>
      </c>
      <c r="E242" s="66">
        <f>($B242-intercept)/slope</f>
        <v>2.0964393478300773E-08</v>
      </c>
      <c r="F242" s="50" t="e">
        <f>$E242+(($E242-xmean)*gval_95-ABS((tval_95*svalue/slope))*SQRT(($E242-xmean)^2/S_xx+(Ndata+$D242)*(1-gval_95)/Ndata/$D242))/(1-gval_95)</f>
        <v>#DIV/0!</v>
      </c>
      <c r="G242" s="50" t="e">
        <f>$E242+(($E242-xmean)*gval_95+ABS((tval_95*svalue/slope))*SQRT(($E242-xmean)^2/S_xx+(Ndata+$D242)*(1-gval_95)/Ndata/$D242))/(1-gval_95)</f>
        <v>#DIV/0!</v>
      </c>
      <c r="H242" s="50" t="e">
        <f>$E242+(($E242-xmean)*gval_99-ABS((tval_99*svalue/slope))*SQRT(($E242-xmean)^2/S_xx+(Ndata+$D242)*(1-gval_99)/Ndata/$D242))/(1-gval_99)</f>
        <v>#DIV/0!</v>
      </c>
      <c r="I242" s="50" t="e">
        <f>$E242+(($E242-xmean)*gval_99+ABS((tval_99*svalue/slope))*SQRT(($E242-xmean)^2/S_xx+(Ndata+$D242)*(1-gval_99)/Ndata/$D242))/(1-gval_99)</f>
        <v>#DIV/0!</v>
      </c>
    </row>
    <row r="243" spans="2:9" ht="12.75">
      <c r="B243" s="52"/>
      <c r="F243" t="e">
        <f>F242-$E242</f>
        <v>#DIV/0!</v>
      </c>
      <c r="G243" t="e">
        <f>G242-$E242</f>
        <v>#DIV/0!</v>
      </c>
      <c r="H243" t="e">
        <f>H242-$E242</f>
        <v>#DIV/0!</v>
      </c>
      <c r="I243" t="e">
        <f>I242-$E242</f>
        <v>#DIV/0!</v>
      </c>
    </row>
    <row r="244" ht="12.75">
      <c r="B244" s="52"/>
    </row>
    <row r="245" ht="12.75">
      <c r="B245" s="52"/>
    </row>
    <row r="246" ht="12.75">
      <c r="B246" s="52"/>
    </row>
    <row r="247" ht="12.75">
      <c r="B247" s="52"/>
    </row>
    <row r="249" spans="1:9" ht="12.75">
      <c r="A249" s="2" t="s">
        <v>127</v>
      </c>
      <c r="B249" s="13" t="s">
        <v>93</v>
      </c>
      <c r="C249" s="3" t="s">
        <v>95</v>
      </c>
      <c r="D249" s="3" t="s">
        <v>91</v>
      </c>
      <c r="E249" s="49" t="s">
        <v>52</v>
      </c>
      <c r="F249" s="120" t="s">
        <v>128</v>
      </c>
      <c r="G249" s="121"/>
      <c r="H249" s="120" t="s">
        <v>129</v>
      </c>
      <c r="I249" s="121"/>
    </row>
    <row r="250" spans="2:9" ht="12.75">
      <c r="B250" s="52"/>
      <c r="C250" s="47" t="e">
        <f>SUM(B250:B255)/COUNT(B250:B255)</f>
        <v>#DIV/0!</v>
      </c>
      <c r="D250" s="47">
        <f>COUNT(B250:B255)</f>
        <v>0</v>
      </c>
      <c r="E250" s="66">
        <f>($B250-intercept)/slope</f>
        <v>2.0964393478300773E-08</v>
      </c>
      <c r="F250" s="50" t="e">
        <f>$E250+(($E250-xmean)*gval_95-ABS((tval_95*svalue/slope))*SQRT(($E250-xmean)^2/S_xx+(Ndata+$D250)*(1-gval_95)/Ndata/$D250))/(1-gval_95)</f>
        <v>#DIV/0!</v>
      </c>
      <c r="G250" s="50" t="e">
        <f>$E250+(($E250-xmean)*gval_95+ABS((tval_95*svalue/slope))*SQRT(($E250-xmean)^2/S_xx+(Ndata+$D250)*(1-gval_95)/Ndata/$D250))/(1-gval_95)</f>
        <v>#DIV/0!</v>
      </c>
      <c r="H250" s="50" t="e">
        <f>$E250+(($E250-xmean)*gval_99-ABS((tval_99*svalue/slope))*SQRT(($E250-xmean)^2/S_xx+(Ndata+$D250)*(1-gval_99)/Ndata/$D250))/(1-gval_99)</f>
        <v>#DIV/0!</v>
      </c>
      <c r="I250" s="50" t="e">
        <f>$E250+(($E250-xmean)*gval_99+ABS((tval_99*svalue/slope))*SQRT(($E250-xmean)^2/S_xx+(Ndata+$D250)*(1-gval_99)/Ndata/$D250))/(1-gval_99)</f>
        <v>#DIV/0!</v>
      </c>
    </row>
    <row r="251" spans="2:9" ht="12.75">
      <c r="B251" s="52"/>
      <c r="F251" t="e">
        <f>F250-$E250</f>
        <v>#DIV/0!</v>
      </c>
      <c r="G251" t="e">
        <f>G250-$E250</f>
        <v>#DIV/0!</v>
      </c>
      <c r="H251" t="e">
        <f>H250-$E250</f>
        <v>#DIV/0!</v>
      </c>
      <c r="I251" t="e">
        <f>I250-$E250</f>
        <v>#DIV/0!</v>
      </c>
    </row>
    <row r="252" ht="12.75">
      <c r="B252" s="52"/>
    </row>
    <row r="253" ht="12.75">
      <c r="B253" s="52"/>
    </row>
    <row r="254" ht="12.75">
      <c r="B254" s="52"/>
    </row>
    <row r="255" ht="12.75">
      <c r="B255" s="52"/>
    </row>
    <row r="257" spans="1:9" ht="12.75">
      <c r="A257" s="2" t="s">
        <v>127</v>
      </c>
      <c r="B257" s="13" t="s">
        <v>93</v>
      </c>
      <c r="C257" s="3" t="s">
        <v>95</v>
      </c>
      <c r="D257" s="3" t="s">
        <v>91</v>
      </c>
      <c r="E257" s="49" t="s">
        <v>52</v>
      </c>
      <c r="F257" s="120" t="s">
        <v>128</v>
      </c>
      <c r="G257" s="121"/>
      <c r="H257" s="120" t="s">
        <v>129</v>
      </c>
      <c r="I257" s="121"/>
    </row>
    <row r="258" spans="2:9" ht="12.75">
      <c r="B258" s="52"/>
      <c r="C258" s="47" t="e">
        <f>SUM(B258:B263)/COUNT(B258:B263)</f>
        <v>#DIV/0!</v>
      </c>
      <c r="D258" s="47">
        <f>COUNT(B258:B263)</f>
        <v>0</v>
      </c>
      <c r="E258" s="66">
        <f>($B258-intercept)/slope</f>
        <v>2.0964393478300773E-08</v>
      </c>
      <c r="F258" s="50" t="e">
        <f>$E258+(($E258-xmean)*gval_95-ABS((tval_95*svalue/slope))*SQRT(($E258-xmean)^2/S_xx+(Ndata+$D258)*(1-gval_95)/Ndata/$D258))/(1-gval_95)</f>
        <v>#DIV/0!</v>
      </c>
      <c r="G258" s="50" t="e">
        <f>$E258+(($E258-xmean)*gval_95+ABS((tval_95*svalue/slope))*SQRT(($E258-xmean)^2/S_xx+(Ndata+$D258)*(1-gval_95)/Ndata/$D258))/(1-gval_95)</f>
        <v>#DIV/0!</v>
      </c>
      <c r="H258" s="50" t="e">
        <f>$E258+(($E258-xmean)*gval_99-ABS((tval_99*svalue/slope))*SQRT(($E258-xmean)^2/S_xx+(Ndata+$D258)*(1-gval_99)/Ndata/$D258))/(1-gval_99)</f>
        <v>#DIV/0!</v>
      </c>
      <c r="I258" s="50" t="e">
        <f>$E258+(($E258-xmean)*gval_99+ABS((tval_99*svalue/slope))*SQRT(($E258-xmean)^2/S_xx+(Ndata+$D258)*(1-gval_99)/Ndata/$D258))/(1-gval_99)</f>
        <v>#DIV/0!</v>
      </c>
    </row>
    <row r="259" spans="2:9" ht="12.75">
      <c r="B259" s="52"/>
      <c r="F259" t="e">
        <f>F258-$E258</f>
        <v>#DIV/0!</v>
      </c>
      <c r="G259" t="e">
        <f>G258-$E258</f>
        <v>#DIV/0!</v>
      </c>
      <c r="H259" t="e">
        <f>H258-$E258</f>
        <v>#DIV/0!</v>
      </c>
      <c r="I259" t="e">
        <f>I258-$E258</f>
        <v>#DIV/0!</v>
      </c>
    </row>
    <row r="260" ht="12.75">
      <c r="B260" s="52"/>
    </row>
    <row r="261" ht="12.75">
      <c r="B261" s="52"/>
    </row>
    <row r="262" ht="12.75">
      <c r="B262" s="52"/>
    </row>
    <row r="263" ht="12.75">
      <c r="B263" s="52"/>
    </row>
    <row r="265" spans="1:9" ht="12.75">
      <c r="A265" s="2" t="s">
        <v>127</v>
      </c>
      <c r="B265" s="13" t="s">
        <v>93</v>
      </c>
      <c r="C265" s="3" t="s">
        <v>95</v>
      </c>
      <c r="D265" s="3" t="s">
        <v>91</v>
      </c>
      <c r="E265" s="49" t="s">
        <v>52</v>
      </c>
      <c r="F265" s="120" t="s">
        <v>128</v>
      </c>
      <c r="G265" s="121"/>
      <c r="H265" s="120" t="s">
        <v>129</v>
      </c>
      <c r="I265" s="121"/>
    </row>
    <row r="266" spans="2:9" ht="12.75">
      <c r="B266" s="52"/>
      <c r="C266" s="47" t="e">
        <f>SUM(B266:B271)/COUNT(B266:B271)</f>
        <v>#DIV/0!</v>
      </c>
      <c r="D266" s="47">
        <f>COUNT(B266:B271)</f>
        <v>0</v>
      </c>
      <c r="E266" s="66">
        <f>($B266-intercept)/slope</f>
        <v>2.0964393478300773E-08</v>
      </c>
      <c r="F266" s="50" t="e">
        <f>$E266+(($E266-xmean)*gval_95-ABS((tval_95*svalue/slope))*SQRT(($E266-xmean)^2/S_xx+(Ndata+$D266)*(1-gval_95)/Ndata/$D266))/(1-gval_95)</f>
        <v>#DIV/0!</v>
      </c>
      <c r="G266" s="50" t="e">
        <f>$E266+(($E266-xmean)*gval_95+ABS((tval_95*svalue/slope))*SQRT(($E266-xmean)^2/S_xx+(Ndata+$D266)*(1-gval_95)/Ndata/$D266))/(1-gval_95)</f>
        <v>#DIV/0!</v>
      </c>
      <c r="H266" s="50" t="e">
        <f>$E266+(($E266-xmean)*gval_99-ABS((tval_99*svalue/slope))*SQRT(($E266-xmean)^2/S_xx+(Ndata+$D266)*(1-gval_99)/Ndata/$D266))/(1-gval_99)</f>
        <v>#DIV/0!</v>
      </c>
      <c r="I266" s="50" t="e">
        <f>$E266+(($E266-xmean)*gval_99+ABS((tval_99*svalue/slope))*SQRT(($E266-xmean)^2/S_xx+(Ndata+$D266)*(1-gval_99)/Ndata/$D266))/(1-gval_99)</f>
        <v>#DIV/0!</v>
      </c>
    </row>
    <row r="267" spans="2:9" ht="12.75">
      <c r="B267" s="52"/>
      <c r="F267" t="e">
        <f>F266-$E266</f>
        <v>#DIV/0!</v>
      </c>
      <c r="G267" t="e">
        <f>G266-$E266</f>
        <v>#DIV/0!</v>
      </c>
      <c r="H267" t="e">
        <f>H266-$E266</f>
        <v>#DIV/0!</v>
      </c>
      <c r="I267" t="e">
        <f>I266-$E266</f>
        <v>#DIV/0!</v>
      </c>
    </row>
    <row r="268" ht="12.75">
      <c r="B268" s="52"/>
    </row>
    <row r="269" ht="12.75">
      <c r="B269" s="52"/>
    </row>
    <row r="270" ht="12.75">
      <c r="B270" s="52"/>
    </row>
    <row r="271" ht="12.75">
      <c r="B271" s="52"/>
    </row>
    <row r="273" spans="1:9" ht="12.75">
      <c r="A273" s="2" t="s">
        <v>127</v>
      </c>
      <c r="B273" s="13" t="s">
        <v>93</v>
      </c>
      <c r="C273" s="3" t="s">
        <v>95</v>
      </c>
      <c r="D273" s="3" t="s">
        <v>91</v>
      </c>
      <c r="E273" s="49" t="s">
        <v>52</v>
      </c>
      <c r="F273" s="120" t="s">
        <v>128</v>
      </c>
      <c r="G273" s="121"/>
      <c r="H273" s="120" t="s">
        <v>129</v>
      </c>
      <c r="I273" s="121"/>
    </row>
    <row r="274" spans="2:9" ht="12.75">
      <c r="B274" s="52"/>
      <c r="C274" s="47" t="e">
        <f>SUM(B274:B279)/COUNT(B274:B279)</f>
        <v>#DIV/0!</v>
      </c>
      <c r="D274" s="47">
        <f>COUNT(B274:B279)</f>
        <v>0</v>
      </c>
      <c r="E274" s="66">
        <f>($B274-intercept)/slope</f>
        <v>2.0964393478300773E-08</v>
      </c>
      <c r="F274" s="50" t="e">
        <f>$E274+(($E274-xmean)*gval_95-ABS((tval_95*svalue/slope))*SQRT(($E274-xmean)^2/S_xx+(Ndata+$D274)*(1-gval_95)/Ndata/$D274))/(1-gval_95)</f>
        <v>#DIV/0!</v>
      </c>
      <c r="G274" s="50" t="e">
        <f>$E274+(($E274-xmean)*gval_95+ABS((tval_95*svalue/slope))*SQRT(($E274-xmean)^2/S_xx+(Ndata+$D274)*(1-gval_95)/Ndata/$D274))/(1-gval_95)</f>
        <v>#DIV/0!</v>
      </c>
      <c r="H274" s="50" t="e">
        <f>$E274+(($E274-xmean)*gval_99-ABS((tval_99*svalue/slope))*SQRT(($E274-xmean)^2/S_xx+(Ndata+$D274)*(1-gval_99)/Ndata/$D274))/(1-gval_99)</f>
        <v>#DIV/0!</v>
      </c>
      <c r="I274" s="50" t="e">
        <f>$E274+(($E274-xmean)*gval_99+ABS((tval_99*svalue/slope))*SQRT(($E274-xmean)^2/S_xx+(Ndata+$D274)*(1-gval_99)/Ndata/$D274))/(1-gval_99)</f>
        <v>#DIV/0!</v>
      </c>
    </row>
    <row r="275" spans="2:9" ht="12.75">
      <c r="B275" s="52"/>
      <c r="F275" t="e">
        <f>F274-$E274</f>
        <v>#DIV/0!</v>
      </c>
      <c r="G275" t="e">
        <f>G274-$E274</f>
        <v>#DIV/0!</v>
      </c>
      <c r="H275" t="e">
        <f>H274-$E274</f>
        <v>#DIV/0!</v>
      </c>
      <c r="I275" t="e">
        <f>I274-$E274</f>
        <v>#DIV/0!</v>
      </c>
    </row>
    <row r="276" ht="12.75">
      <c r="B276" s="52"/>
    </row>
    <row r="277" ht="12.75">
      <c r="B277" s="52"/>
    </row>
    <row r="278" ht="12.75">
      <c r="B278" s="52"/>
    </row>
    <row r="279" ht="12.75">
      <c r="B279" s="52"/>
    </row>
    <row r="281" spans="1:9" ht="12.75">
      <c r="A281" s="2" t="s">
        <v>127</v>
      </c>
      <c r="B281" s="13" t="s">
        <v>93</v>
      </c>
      <c r="C281" s="3" t="s">
        <v>95</v>
      </c>
      <c r="D281" s="3" t="s">
        <v>91</v>
      </c>
      <c r="E281" s="49" t="s">
        <v>52</v>
      </c>
      <c r="F281" s="120" t="s">
        <v>128</v>
      </c>
      <c r="G281" s="121"/>
      <c r="H281" s="120" t="s">
        <v>129</v>
      </c>
      <c r="I281" s="121"/>
    </row>
    <row r="282" spans="2:9" ht="12.75">
      <c r="B282" s="52"/>
      <c r="C282" s="47" t="e">
        <f>SUM(B282:B287)/COUNT(B282:B287)</f>
        <v>#DIV/0!</v>
      </c>
      <c r="D282" s="47">
        <f>COUNT(B282:B287)</f>
        <v>0</v>
      </c>
      <c r="E282" s="66">
        <f>($B282-intercept)/slope</f>
        <v>2.0964393478300773E-08</v>
      </c>
      <c r="F282" s="50" t="e">
        <f>$E282+(($E282-xmean)*gval_95-ABS((tval_95*svalue/slope))*SQRT(($E282-xmean)^2/S_xx+(Ndata+$D282)*(1-gval_95)/Ndata/$D282))/(1-gval_95)</f>
        <v>#DIV/0!</v>
      </c>
      <c r="G282" s="50" t="e">
        <f>$E282+(($E282-xmean)*gval_95+ABS((tval_95*svalue/slope))*SQRT(($E282-xmean)^2/S_xx+(Ndata+$D282)*(1-gval_95)/Ndata/$D282))/(1-gval_95)</f>
        <v>#DIV/0!</v>
      </c>
      <c r="H282" s="50" t="e">
        <f>$E282+(($E282-xmean)*gval_99-ABS((tval_99*svalue/slope))*SQRT(($E282-xmean)^2/S_xx+(Ndata+$D282)*(1-gval_99)/Ndata/$D282))/(1-gval_99)</f>
        <v>#DIV/0!</v>
      </c>
      <c r="I282" s="50" t="e">
        <f>$E282+(($E282-xmean)*gval_99+ABS((tval_99*svalue/slope))*SQRT(($E282-xmean)^2/S_xx+(Ndata+$D282)*(1-gval_99)/Ndata/$D282))/(1-gval_99)</f>
        <v>#DIV/0!</v>
      </c>
    </row>
    <row r="283" spans="2:9" ht="12.75">
      <c r="B283" s="52"/>
      <c r="F283" t="e">
        <f>F282-$E282</f>
        <v>#DIV/0!</v>
      </c>
      <c r="G283" t="e">
        <f>G282-$E282</f>
        <v>#DIV/0!</v>
      </c>
      <c r="H283" t="e">
        <f>H282-$E282</f>
        <v>#DIV/0!</v>
      </c>
      <c r="I283" t="e">
        <f>I282-$E282</f>
        <v>#DIV/0!</v>
      </c>
    </row>
    <row r="284" ht="12.75">
      <c r="B284" s="52"/>
    </row>
    <row r="285" ht="12.75">
      <c r="B285" s="52"/>
    </row>
    <row r="286" ht="12.75">
      <c r="B286" s="52"/>
    </row>
    <row r="287" ht="12.75">
      <c r="B287" s="52"/>
    </row>
    <row r="289" spans="1:9" ht="12.75">
      <c r="A289" s="2" t="s">
        <v>127</v>
      </c>
      <c r="B289" s="13" t="s">
        <v>93</v>
      </c>
      <c r="C289" s="3" t="s">
        <v>95</v>
      </c>
      <c r="D289" s="3" t="s">
        <v>91</v>
      </c>
      <c r="E289" s="49" t="s">
        <v>52</v>
      </c>
      <c r="F289" s="120" t="s">
        <v>128</v>
      </c>
      <c r="G289" s="121"/>
      <c r="H289" s="120" t="s">
        <v>129</v>
      </c>
      <c r="I289" s="121"/>
    </row>
    <row r="290" spans="2:9" ht="12.75">
      <c r="B290" s="52"/>
      <c r="C290" s="47" t="e">
        <f>SUM(B290:B295)/COUNT(B290:B295)</f>
        <v>#DIV/0!</v>
      </c>
      <c r="D290" s="47">
        <f>COUNT(B290:B295)</f>
        <v>0</v>
      </c>
      <c r="E290" s="66">
        <f>($B290-intercept)/slope</f>
        <v>2.0964393478300773E-08</v>
      </c>
      <c r="F290" s="50" t="e">
        <f>$E290+(($E290-xmean)*gval_95-ABS((tval_95*svalue/slope))*SQRT(($E290-xmean)^2/S_xx+(Ndata+$D290)*(1-gval_95)/Ndata/$D290))/(1-gval_95)</f>
        <v>#DIV/0!</v>
      </c>
      <c r="G290" s="50" t="e">
        <f>$E290+(($E290-xmean)*gval_95+ABS((tval_95*svalue/slope))*SQRT(($E290-xmean)^2/S_xx+(Ndata+$D290)*(1-gval_95)/Ndata/$D290))/(1-gval_95)</f>
        <v>#DIV/0!</v>
      </c>
      <c r="H290" s="50" t="e">
        <f>$E290+(($E290-xmean)*gval_99-ABS((tval_99*svalue/slope))*SQRT(($E290-xmean)^2/S_xx+(Ndata+$D290)*(1-gval_99)/Ndata/$D290))/(1-gval_99)</f>
        <v>#DIV/0!</v>
      </c>
      <c r="I290" s="50" t="e">
        <f>$E290+(($E290-xmean)*gval_99+ABS((tval_99*svalue/slope))*SQRT(($E290-xmean)^2/S_xx+(Ndata+$D290)*(1-gval_99)/Ndata/$D290))/(1-gval_99)</f>
        <v>#DIV/0!</v>
      </c>
    </row>
    <row r="291" spans="2:9" ht="12.75">
      <c r="B291" s="52"/>
      <c r="F291" t="e">
        <f>F290-$E290</f>
        <v>#DIV/0!</v>
      </c>
      <c r="G291" t="e">
        <f>G290-$E290</f>
        <v>#DIV/0!</v>
      </c>
      <c r="H291" t="e">
        <f>H290-$E290</f>
        <v>#DIV/0!</v>
      </c>
      <c r="I291" t="e">
        <f>I290-$E290</f>
        <v>#DIV/0!</v>
      </c>
    </row>
    <row r="292" ht="12.75">
      <c r="B292" s="52"/>
    </row>
    <row r="293" ht="12.75">
      <c r="B293" s="52"/>
    </row>
    <row r="294" ht="12.75">
      <c r="B294" s="52"/>
    </row>
    <row r="295" ht="12.75">
      <c r="B295" s="52"/>
    </row>
    <row r="297" spans="1:9" ht="12.75">
      <c r="A297" s="2" t="s">
        <v>127</v>
      </c>
      <c r="B297" s="13" t="s">
        <v>93</v>
      </c>
      <c r="C297" s="3" t="s">
        <v>95</v>
      </c>
      <c r="D297" s="3" t="s">
        <v>91</v>
      </c>
      <c r="E297" s="49" t="s">
        <v>52</v>
      </c>
      <c r="F297" s="120" t="s">
        <v>128</v>
      </c>
      <c r="G297" s="121"/>
      <c r="H297" s="120" t="s">
        <v>129</v>
      </c>
      <c r="I297" s="121"/>
    </row>
    <row r="298" spans="2:9" ht="12.75">
      <c r="B298" s="52"/>
      <c r="C298" s="47" t="e">
        <f>SUM(B298:B303)/COUNT(B298:B303)</f>
        <v>#DIV/0!</v>
      </c>
      <c r="D298" s="47">
        <f>COUNT(B298:B303)</f>
        <v>0</v>
      </c>
      <c r="E298" s="66">
        <f>($B298-intercept)/slope</f>
        <v>2.0964393478300773E-08</v>
      </c>
      <c r="F298" s="50" t="e">
        <f>$E298+(($E298-xmean)*gval_95-ABS((tval_95*svalue/slope))*SQRT(($E298-xmean)^2/S_xx+(Ndata+$D298)*(1-gval_95)/Ndata/$D298))/(1-gval_95)</f>
        <v>#DIV/0!</v>
      </c>
      <c r="G298" s="50" t="e">
        <f>$E298+(($E298-xmean)*gval_95+ABS((tval_95*svalue/slope))*SQRT(($E298-xmean)^2/S_xx+(Ndata+$D298)*(1-gval_95)/Ndata/$D298))/(1-gval_95)</f>
        <v>#DIV/0!</v>
      </c>
      <c r="H298" s="50" t="e">
        <f>$E298+(($E298-xmean)*gval_99-ABS((tval_99*svalue/slope))*SQRT(($E298-xmean)^2/S_xx+(Ndata+$D298)*(1-gval_99)/Ndata/$D298))/(1-gval_99)</f>
        <v>#DIV/0!</v>
      </c>
      <c r="I298" s="50" t="e">
        <f>$E298+(($E298-xmean)*gval_99+ABS((tval_99*svalue/slope))*SQRT(($E298-xmean)^2/S_xx+(Ndata+$D298)*(1-gval_99)/Ndata/$D298))/(1-gval_99)</f>
        <v>#DIV/0!</v>
      </c>
    </row>
    <row r="299" spans="2:9" ht="12.75">
      <c r="B299" s="52"/>
      <c r="F299" t="e">
        <f>F298-$E298</f>
        <v>#DIV/0!</v>
      </c>
      <c r="G299" t="e">
        <f>G298-$E298</f>
        <v>#DIV/0!</v>
      </c>
      <c r="H299" t="e">
        <f>H298-$E298</f>
        <v>#DIV/0!</v>
      </c>
      <c r="I299" t="e">
        <f>I298-$E298</f>
        <v>#DIV/0!</v>
      </c>
    </row>
    <row r="300" ht="12.75">
      <c r="B300" s="52"/>
    </row>
    <row r="301" ht="12.75">
      <c r="B301" s="52"/>
    </row>
    <row r="302" ht="12.75">
      <c r="B302" s="52"/>
    </row>
    <row r="303" ht="12.75">
      <c r="B303" s="52"/>
    </row>
    <row r="305" spans="1:9" ht="12.75">
      <c r="A305" s="2" t="s">
        <v>127</v>
      </c>
      <c r="B305" s="13" t="s">
        <v>93</v>
      </c>
      <c r="C305" s="3" t="s">
        <v>95</v>
      </c>
      <c r="D305" s="3" t="s">
        <v>91</v>
      </c>
      <c r="E305" s="49" t="s">
        <v>52</v>
      </c>
      <c r="F305" s="120" t="s">
        <v>128</v>
      </c>
      <c r="G305" s="121"/>
      <c r="H305" s="120" t="s">
        <v>129</v>
      </c>
      <c r="I305" s="121"/>
    </row>
    <row r="306" spans="2:9" ht="12.75">
      <c r="B306" s="52"/>
      <c r="C306" s="47" t="e">
        <f>SUM(B306:B311)/COUNT(B306:B311)</f>
        <v>#DIV/0!</v>
      </c>
      <c r="D306" s="47">
        <f>COUNT(B306:B311)</f>
        <v>0</v>
      </c>
      <c r="E306" s="66">
        <f>($B306-intercept)/slope</f>
        <v>2.0964393478300773E-08</v>
      </c>
      <c r="F306" s="50" t="e">
        <f>$E306+(($E306-xmean)*gval_95-ABS((tval_95*svalue/slope))*SQRT(($E306-xmean)^2/S_xx+(Ndata+$D306)*(1-gval_95)/Ndata/$D306))/(1-gval_95)</f>
        <v>#DIV/0!</v>
      </c>
      <c r="G306" s="50" t="e">
        <f>$E306+(($E306-xmean)*gval_95+ABS((tval_95*svalue/slope))*SQRT(($E306-xmean)^2/S_xx+(Ndata+$D306)*(1-gval_95)/Ndata/$D306))/(1-gval_95)</f>
        <v>#DIV/0!</v>
      </c>
      <c r="H306" s="50" t="e">
        <f>$E306+(($E306-xmean)*gval_99-ABS((tval_99*svalue/slope))*SQRT(($E306-xmean)^2/S_xx+(Ndata+$D306)*(1-gval_99)/Ndata/$D306))/(1-gval_99)</f>
        <v>#DIV/0!</v>
      </c>
      <c r="I306" s="50" t="e">
        <f>$E306+(($E306-xmean)*gval_99+ABS((tval_99*svalue/slope))*SQRT(($E306-xmean)^2/S_xx+(Ndata+$D306)*(1-gval_99)/Ndata/$D306))/(1-gval_99)</f>
        <v>#DIV/0!</v>
      </c>
    </row>
    <row r="307" spans="2:9" ht="12.75">
      <c r="B307" s="52"/>
      <c r="F307" t="e">
        <f>F306-$E306</f>
        <v>#DIV/0!</v>
      </c>
      <c r="G307" t="e">
        <f>G306-$E306</f>
        <v>#DIV/0!</v>
      </c>
      <c r="H307" t="e">
        <f>H306-$E306</f>
        <v>#DIV/0!</v>
      </c>
      <c r="I307" t="e">
        <f>I306-$E306</f>
        <v>#DIV/0!</v>
      </c>
    </row>
    <row r="308" ht="12.75">
      <c r="B308" s="52"/>
    </row>
    <row r="309" ht="12.75">
      <c r="B309" s="52"/>
    </row>
    <row r="310" ht="12.75">
      <c r="B310" s="52"/>
    </row>
    <row r="311" ht="12.75">
      <c r="B311" s="52"/>
    </row>
    <row r="313" spans="1:9" ht="12.75">
      <c r="A313" s="2" t="s">
        <v>127</v>
      </c>
      <c r="B313" s="13" t="s">
        <v>93</v>
      </c>
      <c r="C313" s="3" t="s">
        <v>95</v>
      </c>
      <c r="D313" s="3" t="s">
        <v>91</v>
      </c>
      <c r="E313" s="49" t="s">
        <v>52</v>
      </c>
      <c r="F313" s="120" t="s">
        <v>128</v>
      </c>
      <c r="G313" s="121"/>
      <c r="H313" s="120" t="s">
        <v>129</v>
      </c>
      <c r="I313" s="121"/>
    </row>
    <row r="314" spans="2:9" ht="12.75">
      <c r="B314" s="52"/>
      <c r="C314" s="47" t="e">
        <f>SUM(B314:B319)/COUNT(B314:B319)</f>
        <v>#DIV/0!</v>
      </c>
      <c r="D314" s="47">
        <f>COUNT(B314:B319)</f>
        <v>0</v>
      </c>
      <c r="E314" s="66">
        <f>($B314-intercept)/slope</f>
        <v>2.0964393478300773E-08</v>
      </c>
      <c r="F314" s="50" t="e">
        <f>$E314+(($E314-xmean)*gval_95-ABS((tval_95*svalue/slope))*SQRT(($E314-xmean)^2/S_xx+(Ndata+$D314)*(1-gval_95)/Ndata/$D314))/(1-gval_95)</f>
        <v>#DIV/0!</v>
      </c>
      <c r="G314" s="50" t="e">
        <f>$E314+(($E314-xmean)*gval_95+ABS((tval_95*svalue/slope))*SQRT(($E314-xmean)^2/S_xx+(Ndata+$D314)*(1-gval_95)/Ndata/$D314))/(1-gval_95)</f>
        <v>#DIV/0!</v>
      </c>
      <c r="H314" s="50" t="e">
        <f>$E314+(($E314-xmean)*gval_99-ABS((tval_99*svalue/slope))*SQRT(($E314-xmean)^2/S_xx+(Ndata+$D314)*(1-gval_99)/Ndata/$D314))/(1-gval_99)</f>
        <v>#DIV/0!</v>
      </c>
      <c r="I314" s="50" t="e">
        <f>$E314+(($E314-xmean)*gval_99+ABS((tval_99*svalue/slope))*SQRT(($E314-xmean)^2/S_xx+(Ndata+$D314)*(1-gval_99)/Ndata/$D314))/(1-gval_99)</f>
        <v>#DIV/0!</v>
      </c>
    </row>
    <row r="315" spans="2:9" ht="12.75">
      <c r="B315" s="52"/>
      <c r="F315" t="e">
        <f>F314-$E314</f>
        <v>#DIV/0!</v>
      </c>
      <c r="G315" t="e">
        <f>G314-$E314</f>
        <v>#DIV/0!</v>
      </c>
      <c r="H315" t="e">
        <f>H314-$E314</f>
        <v>#DIV/0!</v>
      </c>
      <c r="I315" t="e">
        <f>I314-$E314</f>
        <v>#DIV/0!</v>
      </c>
    </row>
    <row r="316" ht="12.75">
      <c r="B316" s="52"/>
    </row>
    <row r="317" ht="12.75">
      <c r="B317" s="52"/>
    </row>
    <row r="318" ht="12.75">
      <c r="B318" s="52"/>
    </row>
    <row r="319" ht="12.75">
      <c r="B319" s="52"/>
    </row>
    <row r="321" spans="1:9" ht="12.75">
      <c r="A321" s="2" t="s">
        <v>127</v>
      </c>
      <c r="B321" s="13" t="s">
        <v>93</v>
      </c>
      <c r="C321" s="3" t="s">
        <v>95</v>
      </c>
      <c r="D321" s="3" t="s">
        <v>91</v>
      </c>
      <c r="E321" s="49" t="s">
        <v>52</v>
      </c>
      <c r="F321" s="120" t="s">
        <v>128</v>
      </c>
      <c r="G321" s="121"/>
      <c r="H321" s="120" t="s">
        <v>129</v>
      </c>
      <c r="I321" s="121"/>
    </row>
    <row r="322" spans="2:9" ht="12.75">
      <c r="B322" s="52"/>
      <c r="C322" s="47" t="e">
        <f>SUM(B322:B327)/COUNT(B322:B327)</f>
        <v>#DIV/0!</v>
      </c>
      <c r="D322" s="47">
        <f>COUNT(B322:B327)</f>
        <v>0</v>
      </c>
      <c r="E322" s="66">
        <f>($B322-intercept)/slope</f>
        <v>2.0964393478300773E-08</v>
      </c>
      <c r="F322" s="50" t="e">
        <f>$E322+(($E322-xmean)*gval_95-ABS((tval_95*svalue/slope))*SQRT(($E322-xmean)^2/S_xx+(Ndata+$D322)*(1-gval_95)/Ndata/$D322))/(1-gval_95)</f>
        <v>#DIV/0!</v>
      </c>
      <c r="G322" s="50" t="e">
        <f>$E322+(($E322-xmean)*gval_95+ABS((tval_95*svalue/slope))*SQRT(($E322-xmean)^2/S_xx+(Ndata+$D322)*(1-gval_95)/Ndata/$D322))/(1-gval_95)</f>
        <v>#DIV/0!</v>
      </c>
      <c r="H322" s="50" t="e">
        <f>$E322+(($E322-xmean)*gval_99-ABS((tval_99*svalue/slope))*SQRT(($E322-xmean)^2/S_xx+(Ndata+$D322)*(1-gval_99)/Ndata/$D322))/(1-gval_99)</f>
        <v>#DIV/0!</v>
      </c>
      <c r="I322" s="50" t="e">
        <f>$E322+(($E322-xmean)*gval_99+ABS((tval_99*svalue/slope))*SQRT(($E322-xmean)^2/S_xx+(Ndata+$D322)*(1-gval_99)/Ndata/$D322))/(1-gval_99)</f>
        <v>#DIV/0!</v>
      </c>
    </row>
    <row r="323" spans="2:9" ht="12.75">
      <c r="B323" s="52"/>
      <c r="F323" t="e">
        <f>F322-$E322</f>
        <v>#DIV/0!</v>
      </c>
      <c r="G323" t="e">
        <f>G322-$E322</f>
        <v>#DIV/0!</v>
      </c>
      <c r="H323" t="e">
        <f>H322-$E322</f>
        <v>#DIV/0!</v>
      </c>
      <c r="I323" t="e">
        <f>I322-$E322</f>
        <v>#DIV/0!</v>
      </c>
    </row>
    <row r="324" ht="12.75">
      <c r="B324" s="52"/>
    </row>
    <row r="325" ht="12.75">
      <c r="B325" s="52"/>
    </row>
    <row r="326" ht="12.75">
      <c r="B326" s="52"/>
    </row>
    <row r="327" ht="12.75">
      <c r="B327" s="52"/>
    </row>
    <row r="329" spans="1:9" ht="12.75">
      <c r="A329" s="2" t="s">
        <v>127</v>
      </c>
      <c r="B329" s="13" t="s">
        <v>93</v>
      </c>
      <c r="C329" s="3" t="s">
        <v>95</v>
      </c>
      <c r="D329" s="3" t="s">
        <v>91</v>
      </c>
      <c r="E329" s="49" t="s">
        <v>52</v>
      </c>
      <c r="F329" s="120" t="s">
        <v>128</v>
      </c>
      <c r="G329" s="121"/>
      <c r="H329" s="120" t="s">
        <v>129</v>
      </c>
      <c r="I329" s="121"/>
    </row>
    <row r="330" spans="2:9" ht="12.75">
      <c r="B330" s="52"/>
      <c r="C330" s="47" t="e">
        <f>SUM(B330:B335)/COUNT(B330:B335)</f>
        <v>#DIV/0!</v>
      </c>
      <c r="D330" s="47">
        <f>COUNT(B330:B335)</f>
        <v>0</v>
      </c>
      <c r="E330" s="66">
        <f>($B330-intercept)/slope</f>
        <v>2.0964393478300773E-08</v>
      </c>
      <c r="F330" s="50" t="e">
        <f>$E330+(($E330-xmean)*gval_95-ABS((tval_95*svalue/slope))*SQRT(($E330-xmean)^2/S_xx+(Ndata+$D330)*(1-gval_95)/Ndata/$D330))/(1-gval_95)</f>
        <v>#DIV/0!</v>
      </c>
      <c r="G330" s="50" t="e">
        <f>$E330+(($E330-xmean)*gval_95+ABS((tval_95*svalue/slope))*SQRT(($E330-xmean)^2/S_xx+(Ndata+$D330)*(1-gval_95)/Ndata/$D330))/(1-gval_95)</f>
        <v>#DIV/0!</v>
      </c>
      <c r="H330" s="50" t="e">
        <f>$E330+(($E330-xmean)*gval_99-ABS((tval_99*svalue/slope))*SQRT(($E330-xmean)^2/S_xx+(Ndata+$D330)*(1-gval_99)/Ndata/$D330))/(1-gval_99)</f>
        <v>#DIV/0!</v>
      </c>
      <c r="I330" s="50" t="e">
        <f>$E330+(($E330-xmean)*gval_99+ABS((tval_99*svalue/slope))*SQRT(($E330-xmean)^2/S_xx+(Ndata+$D330)*(1-gval_99)/Ndata/$D330))/(1-gval_99)</f>
        <v>#DIV/0!</v>
      </c>
    </row>
    <row r="331" spans="2:9" ht="12.75">
      <c r="B331" s="52"/>
      <c r="F331" t="e">
        <f>F330-$E330</f>
        <v>#DIV/0!</v>
      </c>
      <c r="G331" t="e">
        <f>G330-$E330</f>
        <v>#DIV/0!</v>
      </c>
      <c r="H331" t="e">
        <f>H330-$E330</f>
        <v>#DIV/0!</v>
      </c>
      <c r="I331" t="e">
        <f>I330-$E330</f>
        <v>#DIV/0!</v>
      </c>
    </row>
    <row r="332" ht="12.75">
      <c r="B332" s="52"/>
    </row>
    <row r="333" ht="12.75">
      <c r="B333" s="52"/>
    </row>
    <row r="334" ht="12.75">
      <c r="B334" s="52"/>
    </row>
    <row r="335" ht="12.75">
      <c r="B335" s="52"/>
    </row>
  </sheetData>
  <sheetProtection/>
  <mergeCells count="84">
    <mergeCell ref="F313:G313"/>
    <mergeCell ref="H313:I313"/>
    <mergeCell ref="F321:G321"/>
    <mergeCell ref="H321:I321"/>
    <mergeCell ref="F329:G329"/>
    <mergeCell ref="H329:I329"/>
    <mergeCell ref="F289:G289"/>
    <mergeCell ref="H289:I289"/>
    <mergeCell ref="F297:G297"/>
    <mergeCell ref="H297:I297"/>
    <mergeCell ref="F305:G305"/>
    <mergeCell ref="H305:I305"/>
    <mergeCell ref="F265:G265"/>
    <mergeCell ref="H265:I265"/>
    <mergeCell ref="F273:G273"/>
    <mergeCell ref="H273:I273"/>
    <mergeCell ref="F281:G281"/>
    <mergeCell ref="H281:I281"/>
    <mergeCell ref="F241:G241"/>
    <mergeCell ref="H241:I241"/>
    <mergeCell ref="F249:G249"/>
    <mergeCell ref="H249:I249"/>
    <mergeCell ref="F257:G257"/>
    <mergeCell ref="H257:I257"/>
    <mergeCell ref="F217:G217"/>
    <mergeCell ref="H217:I217"/>
    <mergeCell ref="F225:G225"/>
    <mergeCell ref="H225:I225"/>
    <mergeCell ref="F233:G233"/>
    <mergeCell ref="H233:I233"/>
    <mergeCell ref="F193:G193"/>
    <mergeCell ref="H193:I193"/>
    <mergeCell ref="F201:G201"/>
    <mergeCell ref="H201:I201"/>
    <mergeCell ref="F209:G209"/>
    <mergeCell ref="H209:I209"/>
    <mergeCell ref="F169:G169"/>
    <mergeCell ref="H169:I169"/>
    <mergeCell ref="F177:G177"/>
    <mergeCell ref="H177:I177"/>
    <mergeCell ref="F185:G185"/>
    <mergeCell ref="H185:I185"/>
    <mergeCell ref="F145:G145"/>
    <mergeCell ref="H145:I145"/>
    <mergeCell ref="F153:G153"/>
    <mergeCell ref="H153:I153"/>
    <mergeCell ref="F161:G161"/>
    <mergeCell ref="H161:I161"/>
    <mergeCell ref="F121:G121"/>
    <mergeCell ref="H121:I121"/>
    <mergeCell ref="F129:G129"/>
    <mergeCell ref="H129:I129"/>
    <mergeCell ref="F137:G137"/>
    <mergeCell ref="H137:I137"/>
    <mergeCell ref="F97:G97"/>
    <mergeCell ref="H97:I97"/>
    <mergeCell ref="F105:G105"/>
    <mergeCell ref="H105:I105"/>
    <mergeCell ref="F113:G113"/>
    <mergeCell ref="H113:I113"/>
    <mergeCell ref="F73:G73"/>
    <mergeCell ref="H73:I73"/>
    <mergeCell ref="F81:G81"/>
    <mergeCell ref="H81:I81"/>
    <mergeCell ref="F89:G89"/>
    <mergeCell ref="H89:I89"/>
    <mergeCell ref="F49:G49"/>
    <mergeCell ref="H49:I49"/>
    <mergeCell ref="F57:G57"/>
    <mergeCell ref="H57:I57"/>
    <mergeCell ref="F65:G65"/>
    <mergeCell ref="H65:I65"/>
    <mergeCell ref="F25:G25"/>
    <mergeCell ref="H25:I25"/>
    <mergeCell ref="F33:G33"/>
    <mergeCell ref="H33:I33"/>
    <mergeCell ref="F41:G41"/>
    <mergeCell ref="H41:I41"/>
    <mergeCell ref="F1:G1"/>
    <mergeCell ref="H1:I1"/>
    <mergeCell ref="F9:G9"/>
    <mergeCell ref="H9:I9"/>
    <mergeCell ref="F17:G17"/>
    <mergeCell ref="H17:I1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A55" sqref="A55"/>
    </sheetView>
  </sheetViews>
  <sheetFormatPr defaultColWidth="8.8515625" defaultRowHeight="12.75"/>
  <cols>
    <col min="1" max="1" width="11.00390625" style="0" bestFit="1" customWidth="1"/>
    <col min="2" max="2" width="13.140625" style="0" bestFit="1" customWidth="1"/>
    <col min="3" max="3" width="11.00390625" style="0" bestFit="1" customWidth="1"/>
    <col min="4" max="5" width="8.8515625" style="0" customWidth="1"/>
    <col min="6" max="6" width="13.140625" style="0" bestFit="1" customWidth="1"/>
    <col min="7" max="7" width="8.8515625" style="0" customWidth="1"/>
    <col min="8" max="9" width="12.00390625" style="0" bestFit="1" customWidth="1"/>
    <col min="10" max="11" width="8.8515625" style="0" customWidth="1"/>
    <col min="12" max="12" width="12.421875" style="0" bestFit="1" customWidth="1"/>
  </cols>
  <sheetData>
    <row r="1" spans="1:5" ht="12.75">
      <c r="A1" s="2" t="s">
        <v>130</v>
      </c>
      <c r="E1" s="2" t="s">
        <v>131</v>
      </c>
    </row>
    <row r="3" spans="1:13" ht="12.75">
      <c r="A3" s="2" t="s">
        <v>132</v>
      </c>
      <c r="B3" s="52" t="s">
        <v>47</v>
      </c>
      <c r="C3" s="47" t="s">
        <v>133</v>
      </c>
      <c r="D3" s="47" t="s">
        <v>134</v>
      </c>
      <c r="E3" s="49" t="s">
        <v>52</v>
      </c>
      <c r="F3" s="121" t="s">
        <v>49</v>
      </c>
      <c r="G3" s="121"/>
      <c r="H3" s="121" t="s">
        <v>50</v>
      </c>
      <c r="I3" s="121"/>
      <c r="K3" s="76" t="s">
        <v>135</v>
      </c>
      <c r="L3" s="76" t="s">
        <v>136</v>
      </c>
      <c r="M3" s="76"/>
    </row>
    <row r="4" spans="2:13" ht="12.75">
      <c r="B4" s="52">
        <v>15045.67</v>
      </c>
      <c r="C4" s="47">
        <f>SUM(B4:B9)/COUNT(B4:B15)</f>
        <v>15146.17</v>
      </c>
      <c r="D4" s="47">
        <f>COUNT(B4:B15)</f>
        <v>6</v>
      </c>
      <c r="E4" s="66">
        <f>($C4-few)/slope</f>
        <v>2.372775668796867E-07</v>
      </c>
      <c r="F4" s="50">
        <f>$E4+(($E4-xmean)*gval_95-ABS((tval_95*svalue/slope))*SQRT(($E4-xmean)^2/S_xx+(Ndata+$D4)*(1-gval_95)/Ndata/$D4))/(1-gval_95)</f>
        <v>2.2235265041017725E-08</v>
      </c>
      <c r="G4" s="50">
        <f>$E4+(($E4-xmean)*gval_95+ABS((tval_95*svalue/slope))*SQRT(($E4-xmean)^2/S_xx+(Ndata+$D4)*(1-gval_95)/Ndata/$D4))/(1-gval_95)</f>
        <v>4.523198687183557E-07</v>
      </c>
      <c r="H4" s="50">
        <f>$E4+(($E4-xmean)*gval_99-ABS((tval_99*svalue/slope))*SQRT(($E4-xmean)^2/S_xx+(Ndata+$D4)*(1-gval_99)/Ndata/$D4))/(1-gval_99)</f>
        <v>-4.25746391767815E-08</v>
      </c>
      <c r="I4" s="50">
        <f>$E4+(($E4-xmean)*gval_99+ABS((tval_99*svalue/slope))*SQRT(($E4-xmean)^2/S_xx+(Ndata+$D4)*(1-gval_99)/Ndata/$D4))/(1-gval_99)</f>
        <v>5.171297729361549E-07</v>
      </c>
      <c r="K4" s="76">
        <f>STDEV(M4:M15)</f>
        <v>4.418950190775984E-09</v>
      </c>
      <c r="L4" s="76">
        <f>COUNT(M4:M15)</f>
        <v>6</v>
      </c>
      <c r="M4" s="76">
        <f aca="true" t="shared" si="0" ref="M4:M15">IF($B4&gt;0,($B4-few)/slope)</f>
        <v>2.3570343573925014E-07</v>
      </c>
    </row>
    <row r="5" spans="2:13" ht="12.75">
      <c r="B5" s="52">
        <v>15436.67</v>
      </c>
      <c r="F5">
        <f>F4-$E4</f>
        <v>-2.1504230183866898E-07</v>
      </c>
      <c r="G5">
        <f>G4-$E4</f>
        <v>2.1504230183866898E-07</v>
      </c>
      <c r="H5">
        <f>H4-$E4</f>
        <v>-2.798522060564682E-07</v>
      </c>
      <c r="I5">
        <f>I4-$E4</f>
        <v>2.798522060564682E-07</v>
      </c>
      <c r="K5" s="76"/>
      <c r="L5" s="76"/>
      <c r="M5" s="76">
        <f t="shared" si="0"/>
        <v>2.4182766734035165E-07</v>
      </c>
    </row>
    <row r="6" spans="2:13" ht="12.75">
      <c r="B6" s="52">
        <v>14867.67</v>
      </c>
      <c r="K6" s="76"/>
      <c r="L6" s="76"/>
      <c r="M6" s="76">
        <f t="shared" si="0"/>
        <v>2.329154223760888E-07</v>
      </c>
    </row>
    <row r="7" spans="2:13" ht="12.75">
      <c r="B7" s="52">
        <v>15524.67</v>
      </c>
      <c r="K7" s="76"/>
      <c r="L7" s="76"/>
      <c r="M7" s="76">
        <f t="shared" si="0"/>
        <v>2.4320601102551004E-07</v>
      </c>
    </row>
    <row r="8" spans="2:13" ht="12.75">
      <c r="B8" s="52">
        <v>15143.67</v>
      </c>
      <c r="K8" s="76"/>
      <c r="L8" s="76"/>
      <c r="M8" s="76">
        <f t="shared" si="0"/>
        <v>2.3723840938863108E-07</v>
      </c>
    </row>
    <row r="9" spans="2:13" ht="12.75">
      <c r="B9" s="52">
        <v>14858.67</v>
      </c>
      <c r="K9" s="76"/>
      <c r="L9" s="76"/>
      <c r="M9" s="76">
        <f t="shared" si="0"/>
        <v>2.3277445540828852E-07</v>
      </c>
    </row>
    <row r="10" spans="2:13" ht="12.75">
      <c r="B10" s="52"/>
      <c r="K10" s="76"/>
      <c r="L10" s="76"/>
      <c r="M10" s="76" t="b">
        <f t="shared" si="0"/>
        <v>0</v>
      </c>
    </row>
    <row r="11" spans="2:13" ht="12.75">
      <c r="B11" s="52"/>
      <c r="K11" s="76"/>
      <c r="L11" s="76"/>
      <c r="M11" s="76" t="b">
        <f t="shared" si="0"/>
        <v>0</v>
      </c>
    </row>
    <row r="12" spans="2:13" ht="12.75">
      <c r="B12" s="52"/>
      <c r="K12" s="76"/>
      <c r="L12" s="76"/>
      <c r="M12" s="76" t="b">
        <f t="shared" si="0"/>
        <v>0</v>
      </c>
    </row>
    <row r="13" spans="2:13" ht="12.75">
      <c r="B13" s="52"/>
      <c r="K13" s="76"/>
      <c r="L13" s="76"/>
      <c r="M13" s="76" t="b">
        <f t="shared" si="0"/>
        <v>0</v>
      </c>
    </row>
    <row r="14" spans="2:13" ht="12.75">
      <c r="B14" s="52"/>
      <c r="K14" s="76"/>
      <c r="L14" s="76"/>
      <c r="M14" s="76" t="b">
        <f t="shared" si="0"/>
        <v>0</v>
      </c>
    </row>
    <row r="15" spans="2:13" ht="13.5" thickBot="1">
      <c r="B15" s="77"/>
      <c r="K15" s="76"/>
      <c r="L15" s="76"/>
      <c r="M15" s="76" t="b">
        <f t="shared" si="0"/>
        <v>0</v>
      </c>
    </row>
    <row r="16" spans="2:12" ht="13.5" thickBot="1">
      <c r="B16" s="80" t="s">
        <v>137</v>
      </c>
      <c r="C16" s="81"/>
      <c r="D16" s="81"/>
      <c r="E16" s="81"/>
      <c r="F16" s="83" t="s">
        <v>144</v>
      </c>
      <c r="G16" s="83" t="s">
        <v>145</v>
      </c>
      <c r="H16" s="83" t="s">
        <v>138</v>
      </c>
      <c r="I16" s="83" t="s">
        <v>139</v>
      </c>
      <c r="J16" s="83" t="s">
        <v>140</v>
      </c>
      <c r="K16" s="83" t="s">
        <v>141</v>
      </c>
      <c r="L16" s="89" t="s">
        <v>146</v>
      </c>
    </row>
    <row r="17" spans="2:12" ht="13.5" thickBot="1">
      <c r="B17" s="78"/>
      <c r="C17" s="79"/>
      <c r="D17" s="79"/>
      <c r="E17" s="79"/>
      <c r="F17" s="86">
        <f>ABS((E4-E20)/(L17*SQRT(1/L4+1/L20)))</f>
        <v>9.854118995189175</v>
      </c>
      <c r="G17" s="86">
        <f>TINV(0.05,K17)</f>
        <v>2.2281388519862744</v>
      </c>
      <c r="H17" s="84" t="str">
        <f>IF(F17&gt;G17,"Yes","No")</f>
        <v>Yes</v>
      </c>
      <c r="I17" s="87">
        <f>TINV(0.01,K17)</f>
        <v>3.169272672616952</v>
      </c>
      <c r="J17" s="84" t="str">
        <f>IF(F17&gt;I17,"Yes","No")</f>
        <v>Yes</v>
      </c>
      <c r="K17" s="85">
        <f>L4-1+L20-1</f>
        <v>10</v>
      </c>
      <c r="L17" s="88">
        <f>SQRT(K4^2*(L4-1)+K20^2*(L20-1))</f>
        <v>3.924749092004598E-07</v>
      </c>
    </row>
    <row r="19" spans="1:13" ht="12.75">
      <c r="A19" s="2" t="s">
        <v>142</v>
      </c>
      <c r="B19" s="52" t="s">
        <v>47</v>
      </c>
      <c r="C19" s="47" t="s">
        <v>133</v>
      </c>
      <c r="D19" s="47" t="s">
        <v>134</v>
      </c>
      <c r="E19" s="49" t="s">
        <v>52</v>
      </c>
      <c r="F19" s="121" t="s">
        <v>49</v>
      </c>
      <c r="G19" s="121"/>
      <c r="H19" s="121" t="s">
        <v>50</v>
      </c>
      <c r="I19" s="121"/>
      <c r="K19" s="76" t="s">
        <v>135</v>
      </c>
      <c r="L19" s="76" t="s">
        <v>136</v>
      </c>
      <c r="M19" s="76"/>
    </row>
    <row r="20" spans="2:13" ht="12.75">
      <c r="B20" s="52">
        <v>154831.7</v>
      </c>
      <c r="C20" s="47">
        <f>SUM(B20:B25)/COUNT(B20:B31)</f>
        <v>157705.03333333333</v>
      </c>
      <c r="D20" s="47">
        <f>COUNT(B20:B31)</f>
        <v>6</v>
      </c>
      <c r="E20" s="66">
        <f>($C20-few)/slope</f>
        <v>2.4701765332303616E-06</v>
      </c>
      <c r="F20" s="50">
        <f>$E20+(($E20-xmean)*gval_95-ABS((tval_95*svalue/slope))*SQRT(($E20-xmean)^2/S_xx+(Ndata+$D20)*(1-gval_95)/Ndata/$D20))/(1-gval_95)</f>
        <v>2.3038213292942182E-06</v>
      </c>
      <c r="G20" s="50">
        <f>$E20+(($E20-xmean)*gval_95+ABS((tval_95*svalue/slope))*SQRT(($E20-xmean)^2/S_xx+(Ndata+$D20)*(1-gval_95)/Ndata/$D20))/(1-gval_95)</f>
        <v>2.636531737166505E-06</v>
      </c>
      <c r="H20" s="50">
        <f>$E20+(($E20-xmean)*gval_99-ABS((tval_99*svalue/slope))*SQRT(($E20-xmean)^2/S_xx+(Ndata+$D20)*(1-gval_99)/Ndata/$D20))/(1-gval_99)</f>
        <v>2.253684845723081E-06</v>
      </c>
      <c r="I20" s="50">
        <f>$E20+(($E20-xmean)*gval_99+ABS((tval_99*svalue/slope))*SQRT(($E20-xmean)^2/S_xx+(Ndata+$D20)*(1-gval_99)/Ndata/$D20))/(1-gval_99)</f>
        <v>2.686668220737642E-06</v>
      </c>
      <c r="K20" s="76">
        <f>STDEV(M20:M31)</f>
        <v>1.7546448002257685E-07</v>
      </c>
      <c r="L20" s="76">
        <f>COUNT(M20:M31)</f>
        <v>6</v>
      </c>
      <c r="M20" s="76">
        <f aca="true" t="shared" si="1" ref="M20:M31">IF($B20&gt;0,($B20-few)/slope)</f>
        <v>2.425171523510417E-06</v>
      </c>
    </row>
    <row r="21" spans="2:13" ht="12.75">
      <c r="B21" s="52">
        <v>158151.7</v>
      </c>
      <c r="F21">
        <f>F20-$E20</f>
        <v>-1.6635520393614339E-07</v>
      </c>
      <c r="G21">
        <f>G20-$E20</f>
        <v>1.6635520393614339E-07</v>
      </c>
      <c r="H21">
        <f>H20-$E20</f>
        <v>-2.164916875072804E-07</v>
      </c>
      <c r="I21">
        <f>I20-$E20</f>
        <v>2.164916875072804E-07</v>
      </c>
      <c r="K21" s="76"/>
      <c r="L21" s="76"/>
      <c r="M21" s="76">
        <f t="shared" si="1"/>
        <v>2.4771726716323023E-06</v>
      </c>
    </row>
    <row r="22" spans="2:13" ht="12.75">
      <c r="B22" s="52">
        <v>150711.7</v>
      </c>
      <c r="K22" s="76"/>
      <c r="L22" s="76"/>
      <c r="M22" s="76">
        <f t="shared" si="1"/>
        <v>2.360639978250729E-06</v>
      </c>
    </row>
    <row r="23" spans="2:13" ht="12.75">
      <c r="B23" s="52">
        <v>148101.7</v>
      </c>
      <c r="K23" s="76"/>
      <c r="L23" s="76"/>
      <c r="M23" s="76">
        <f t="shared" si="1"/>
        <v>2.3197595575886442E-06</v>
      </c>
    </row>
    <row r="24" spans="2:13" ht="12.75">
      <c r="B24" s="52">
        <v>155031.7</v>
      </c>
      <c r="K24" s="76"/>
      <c r="L24" s="76"/>
      <c r="M24" s="76">
        <f t="shared" si="1"/>
        <v>2.4283041227948685E-06</v>
      </c>
    </row>
    <row r="25" spans="2:13" ht="12.75">
      <c r="B25" s="52">
        <v>179401.7</v>
      </c>
      <c r="K25" s="76"/>
      <c r="L25" s="76"/>
      <c r="M25" s="76">
        <f t="shared" si="1"/>
        <v>2.8100113456052116E-06</v>
      </c>
    </row>
    <row r="26" spans="2:13" ht="12.75">
      <c r="B26" s="52"/>
      <c r="K26" s="76"/>
      <c r="L26" s="76"/>
      <c r="M26" s="76" t="b">
        <f t="shared" si="1"/>
        <v>0</v>
      </c>
    </row>
    <row r="27" spans="2:13" ht="12.75">
      <c r="B27" s="52"/>
      <c r="K27" s="76"/>
      <c r="L27" s="76"/>
      <c r="M27" s="76" t="b">
        <f t="shared" si="1"/>
        <v>0</v>
      </c>
    </row>
    <row r="28" spans="2:13" ht="12.75">
      <c r="B28" s="52"/>
      <c r="K28" s="76"/>
      <c r="L28" s="76"/>
      <c r="M28" s="76" t="b">
        <f t="shared" si="1"/>
        <v>0</v>
      </c>
    </row>
    <row r="29" spans="2:13" ht="12.75">
      <c r="B29" s="52"/>
      <c r="K29" s="76"/>
      <c r="L29" s="76"/>
      <c r="M29" s="76" t="b">
        <f t="shared" si="1"/>
        <v>0</v>
      </c>
    </row>
    <row r="30" spans="2:13" ht="12.75">
      <c r="B30" s="52"/>
      <c r="K30" s="76"/>
      <c r="L30" s="76"/>
      <c r="M30" s="76" t="b">
        <f t="shared" si="1"/>
        <v>0</v>
      </c>
    </row>
    <row r="31" spans="2:13" ht="13.5" thickBot="1">
      <c r="B31" s="77"/>
      <c r="K31" s="76"/>
      <c r="L31" s="76"/>
      <c r="M31" s="76" t="b">
        <f t="shared" si="1"/>
        <v>0</v>
      </c>
    </row>
    <row r="32" spans="2:12" ht="13.5" thickBot="1">
      <c r="B32" s="80" t="s">
        <v>137</v>
      </c>
      <c r="C32" s="81"/>
      <c r="D32" s="81"/>
      <c r="E32" s="81"/>
      <c r="F32" s="83" t="s">
        <v>144</v>
      </c>
      <c r="G32" s="83" t="s">
        <v>145</v>
      </c>
      <c r="H32" s="83" t="s">
        <v>138</v>
      </c>
      <c r="I32" s="83" t="s">
        <v>139</v>
      </c>
      <c r="J32" s="83" t="s">
        <v>140</v>
      </c>
      <c r="K32" s="83" t="s">
        <v>141</v>
      </c>
      <c r="L32" s="89" t="s">
        <v>146</v>
      </c>
    </row>
    <row r="33" spans="2:12" ht="13.5" thickBot="1">
      <c r="B33" s="78"/>
      <c r="C33" s="79"/>
      <c r="D33" s="79"/>
      <c r="E33" s="79"/>
      <c r="F33" s="86">
        <f>ABS((E20-E36)/(L33*SQRT(1/L20+1/L36)))</f>
        <v>6.575737715082311</v>
      </c>
      <c r="G33" s="86">
        <f>TINV(0.05,K33)</f>
        <v>2.2281388519862744</v>
      </c>
      <c r="H33" s="84" t="str">
        <f>IF(F33&gt;G33,"Yes","No")</f>
        <v>Yes</v>
      </c>
      <c r="I33" s="87">
        <f>TINV(0.01,K33)</f>
        <v>3.169272672616952</v>
      </c>
      <c r="J33" s="84" t="str">
        <f>IF(F33&gt;I33,"Yes","No")</f>
        <v>Yes</v>
      </c>
      <c r="K33" s="85">
        <f>L20-1+L36-1</f>
        <v>10</v>
      </c>
      <c r="L33" s="88">
        <f>SQRT(K20^2*(L20-1)+K36^2*(L36-1))</f>
        <v>6.506450598548216E-07</v>
      </c>
    </row>
    <row r="34" spans="5:7" ht="12.75">
      <c r="E34" s="82" t="s">
        <v>52</v>
      </c>
      <c r="F34" s="122" t="s">
        <v>49</v>
      </c>
      <c r="G34" s="122"/>
    </row>
    <row r="35" spans="1:13" ht="12.75">
      <c r="A35" s="2" t="s">
        <v>143</v>
      </c>
      <c r="B35" s="52" t="s">
        <v>47</v>
      </c>
      <c r="C35" s="47" t="s">
        <v>133</v>
      </c>
      <c r="D35" s="47" t="s">
        <v>134</v>
      </c>
      <c r="E35" s="66">
        <f>($C36-few)/slope</f>
        <v>5.002230429857995E-06</v>
      </c>
      <c r="F35" s="50">
        <f>$E35+(($E35-xmean)*gval_95-ABS((tval_95*svalue/slope))*SQRT(($E35-xmean)^2/S_xx+(Ndata+$D36)*(1-gval_95)/Ndata/$D36))/(1-gval_95)</f>
        <v>4.785050609801965E-06</v>
      </c>
      <c r="G35" s="50">
        <f>$E35+(($E35-xmean)*gval_95+ABS((tval_95*svalue/slope))*SQRT(($E35-xmean)^2/S_xx+(Ndata+$D36)*(1-gval_95)/Ndata/$D36))/(1-gval_95)</f>
        <v>5.2194102499140245E-06</v>
      </c>
      <c r="H35" s="121" t="s">
        <v>50</v>
      </c>
      <c r="I35" s="121"/>
      <c r="K35" s="76" t="s">
        <v>135</v>
      </c>
      <c r="L35" s="76" t="s">
        <v>136</v>
      </c>
      <c r="M35" s="76"/>
    </row>
    <row r="36" spans="2:13" ht="12.75">
      <c r="B36" s="52">
        <v>327371.7</v>
      </c>
      <c r="C36" s="47">
        <f>SUM(B36:B41)/COUNT(B36:B47)</f>
        <v>319363.36666666664</v>
      </c>
      <c r="D36" s="47">
        <f>COUNT(B36:B47)</f>
        <v>6</v>
      </c>
      <c r="F36">
        <f>F35-$E35</f>
        <v>-2.1717982005602983E-07</v>
      </c>
      <c r="G36">
        <f>G35-$E35</f>
        <v>2.1717982005602983E-07</v>
      </c>
      <c r="H36" s="50">
        <f>$E35+(($E35-xmean)*gval_99-ABS((tval_99*svalue/slope))*SQRT(($E35-xmean)^2/S_xx+(Ndata+$D36)*(1-gval_99)/Ndata/$D36))/(1-gval_99)</f>
        <v>4.719596495818243E-06</v>
      </c>
      <c r="I36" s="50">
        <f>$E35+(($E35-xmean)*gval_99+ABS((tval_99*svalue/slope))*SQRT(($E35-xmean)^2/S_xx+(Ndata+$D36)*(1-gval_99)/Ndata/$D36))/(1-gval_99)</f>
        <v>5.284864363897746E-06</v>
      </c>
      <c r="K36" s="76">
        <f>STDEV(M36:M47)</f>
        <v>2.3212069066135314E-07</v>
      </c>
      <c r="L36" s="76">
        <f>COUNT(M36:M47)</f>
        <v>6</v>
      </c>
      <c r="M36" s="76">
        <f aca="true" t="shared" si="2" ref="M36:M47">IF($B36&gt;0,($B36-few)/slope)</f>
        <v>5.127664926206218E-06</v>
      </c>
    </row>
    <row r="37" spans="2:13" ht="12.75">
      <c r="B37" s="52">
        <v>303621.7</v>
      </c>
      <c r="H37">
        <f>H36-$E35</f>
        <v>-2.826339340397514E-07</v>
      </c>
      <c r="I37">
        <f>I36-$E35</f>
        <v>2.826339340397514E-07</v>
      </c>
      <c r="K37" s="76"/>
      <c r="L37" s="76"/>
      <c r="M37" s="76">
        <f t="shared" si="2"/>
        <v>4.755668761177672E-06</v>
      </c>
    </row>
    <row r="38" spans="2:13" ht="12.75">
      <c r="B38" s="52">
        <v>301951.7</v>
      </c>
      <c r="K38" s="76"/>
      <c r="L38" s="76"/>
      <c r="M38" s="76">
        <f t="shared" si="2"/>
        <v>4.729511557152507E-06</v>
      </c>
    </row>
    <row r="39" spans="2:13" ht="12.75">
      <c r="B39" s="52">
        <v>314321.7</v>
      </c>
      <c r="K39" s="76"/>
      <c r="L39" s="76"/>
      <c r="M39" s="76">
        <f t="shared" si="2"/>
        <v>4.923262822895796E-06</v>
      </c>
    </row>
    <row r="40" spans="2:13" ht="12.75">
      <c r="B40" s="52">
        <v>333461.7</v>
      </c>
      <c r="K40" s="76"/>
      <c r="L40" s="76"/>
      <c r="M40" s="76">
        <f t="shared" si="2"/>
        <v>5.2230525744177475E-06</v>
      </c>
    </row>
    <row r="41" spans="2:13" ht="12.75">
      <c r="B41" s="52">
        <v>335451.7</v>
      </c>
      <c r="K41" s="76"/>
      <c r="L41" s="76"/>
      <c r="M41" s="76">
        <f t="shared" si="2"/>
        <v>5.254221937298034E-06</v>
      </c>
    </row>
    <row r="42" spans="2:13" ht="12.75">
      <c r="B42" s="52"/>
      <c r="K42" s="76"/>
      <c r="L42" s="76"/>
      <c r="M42" s="76" t="b">
        <f t="shared" si="2"/>
        <v>0</v>
      </c>
    </row>
    <row r="43" spans="2:13" ht="12.75">
      <c r="B43" s="52"/>
      <c r="K43" s="76"/>
      <c r="L43" s="76"/>
      <c r="M43" s="76" t="b">
        <f t="shared" si="2"/>
        <v>0</v>
      </c>
    </row>
    <row r="44" spans="2:13" ht="12.75">
      <c r="B44" s="52"/>
      <c r="K44" s="76"/>
      <c r="L44" s="76"/>
      <c r="M44" s="76" t="b">
        <f t="shared" si="2"/>
        <v>0</v>
      </c>
    </row>
    <row r="45" spans="2:13" ht="12.75">
      <c r="B45" s="52"/>
      <c r="K45" s="76"/>
      <c r="L45" s="76"/>
      <c r="M45" s="76" t="b">
        <f t="shared" si="2"/>
        <v>0</v>
      </c>
    </row>
    <row r="46" spans="2:13" ht="12.75">
      <c r="B46" s="52"/>
      <c r="K46" s="76"/>
      <c r="L46" s="76"/>
      <c r="M46" s="76" t="b">
        <f t="shared" si="2"/>
        <v>0</v>
      </c>
    </row>
    <row r="47" spans="2:13" ht="12.75">
      <c r="B47" s="52"/>
      <c r="K47" s="76"/>
      <c r="L47" s="76"/>
      <c r="M47" s="76" t="b">
        <f t="shared" si="2"/>
        <v>0</v>
      </c>
    </row>
    <row r="54" spans="5:7" ht="12.75">
      <c r="E54" s="33"/>
      <c r="F54" s="33"/>
      <c r="G54" s="33"/>
    </row>
    <row r="55" spans="1:16" ht="12.75">
      <c r="A55" s="33"/>
      <c r="B55" s="33"/>
      <c r="C55" s="33"/>
      <c r="D55" s="33"/>
      <c r="H55" s="33"/>
      <c r="I55" s="33"/>
      <c r="J55" s="33"/>
      <c r="K55" s="33"/>
      <c r="L55" s="33"/>
      <c r="M55" s="33"/>
      <c r="N55" s="33"/>
      <c r="O55" s="33"/>
      <c r="P55" s="33" t="s">
        <v>57</v>
      </c>
    </row>
  </sheetData>
  <sheetProtection/>
  <mergeCells count="6">
    <mergeCell ref="F3:G3"/>
    <mergeCell ref="H3:I3"/>
    <mergeCell ref="F19:G19"/>
    <mergeCell ref="H19:I19"/>
    <mergeCell ref="F34:G34"/>
    <mergeCell ref="H35:I35"/>
  </mergeCells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2"/>
  <sheetViews>
    <sheetView zoomScalePageLayoutView="0" workbookViewId="0" topLeftCell="A1">
      <selection activeCell="G17" sqref="G17"/>
    </sheetView>
  </sheetViews>
  <sheetFormatPr defaultColWidth="8.8515625" defaultRowHeight="12.75"/>
  <cols>
    <col min="1" max="1" width="11.00390625" style="0" bestFit="1" customWidth="1"/>
    <col min="2" max="2" width="13.140625" style="0" bestFit="1" customWidth="1"/>
    <col min="3" max="3" width="11.00390625" style="0" bestFit="1" customWidth="1"/>
    <col min="4" max="5" width="8.8515625" style="0" customWidth="1"/>
    <col min="6" max="6" width="13.140625" style="0" bestFit="1" customWidth="1"/>
    <col min="7" max="7" width="8.8515625" style="0" customWidth="1"/>
    <col min="8" max="9" width="12.00390625" style="0" bestFit="1" customWidth="1"/>
  </cols>
  <sheetData>
    <row r="1" spans="1:10" ht="12.75">
      <c r="A1" s="1" t="s">
        <v>0</v>
      </c>
      <c r="B1" s="2" t="s">
        <v>117</v>
      </c>
      <c r="C1" s="2" t="s">
        <v>34</v>
      </c>
      <c r="D1" s="2"/>
      <c r="E1" s="2"/>
      <c r="F1" s="2"/>
      <c r="G1" s="95"/>
      <c r="H1" s="108" t="s">
        <v>94</v>
      </c>
      <c r="I1" s="116"/>
      <c r="J1" s="117"/>
    </row>
    <row r="2" spans="1:10" ht="12.75">
      <c r="A2" s="20"/>
      <c r="B2" s="18" t="s">
        <v>2</v>
      </c>
      <c r="C2" s="18" t="s">
        <v>1</v>
      </c>
      <c r="D2" s="75" t="s">
        <v>148</v>
      </c>
      <c r="E2" s="4"/>
      <c r="F2" s="5"/>
      <c r="G2" s="90"/>
      <c r="H2" s="18" t="s">
        <v>95</v>
      </c>
      <c r="I2" s="18" t="s">
        <v>44</v>
      </c>
      <c r="J2" s="18" t="s">
        <v>45</v>
      </c>
    </row>
    <row r="3" spans="1:10" ht="12.75">
      <c r="A3" s="2" t="s">
        <v>118</v>
      </c>
      <c r="B3" s="3">
        <v>3</v>
      </c>
      <c r="C3" s="21"/>
      <c r="D3" s="22"/>
      <c r="E3" s="21"/>
      <c r="F3" s="92"/>
      <c r="G3" s="91"/>
      <c r="H3" s="47" t="e">
        <f>AVERAGE(D3:F3)</f>
        <v>#DIV/0!</v>
      </c>
      <c r="I3" s="47" t="e">
        <f>STDEV(D3:F3)</f>
        <v>#DIV/0!</v>
      </c>
      <c r="J3" s="48" t="e">
        <f>I3/H3*100</f>
        <v>#DIV/0!</v>
      </c>
    </row>
    <row r="4" spans="1:6" ht="12.75">
      <c r="A4" s="2"/>
      <c r="B4" s="107" t="s">
        <v>43</v>
      </c>
      <c r="C4" s="109"/>
      <c r="D4" s="22">
        <v>1</v>
      </c>
      <c r="E4" s="23">
        <v>2</v>
      </c>
      <c r="F4" s="58">
        <v>3</v>
      </c>
    </row>
    <row r="5" spans="1:10" ht="12.75">
      <c r="A5" s="2" t="s">
        <v>119</v>
      </c>
      <c r="B5" s="3">
        <v>3</v>
      </c>
      <c r="C5" s="21"/>
      <c r="D5" s="59"/>
      <c r="E5" s="59"/>
      <c r="F5" s="93"/>
      <c r="H5" s="47" t="e">
        <f>AVERAGE(D5:F5)</f>
        <v>#DIV/0!</v>
      </c>
      <c r="I5" s="47" t="e">
        <f>STDEV(D5:F5)</f>
        <v>#DIV/0!</v>
      </c>
      <c r="J5" s="48" t="e">
        <f>I5/H5*100</f>
        <v>#DIV/0!</v>
      </c>
    </row>
    <row r="6" spans="1:6" ht="12.75">
      <c r="A6" s="2"/>
      <c r="B6" s="107" t="s">
        <v>43</v>
      </c>
      <c r="C6" s="109"/>
      <c r="D6" s="27">
        <v>4</v>
      </c>
      <c r="E6" s="29">
        <v>5</v>
      </c>
      <c r="F6" s="30">
        <v>6</v>
      </c>
    </row>
    <row r="7" spans="1:10" ht="12.75">
      <c r="A7" s="2" t="s">
        <v>120</v>
      </c>
      <c r="B7" s="3">
        <v>3</v>
      </c>
      <c r="C7" s="21"/>
      <c r="D7" s="62"/>
      <c r="E7" s="62"/>
      <c r="F7" s="94"/>
      <c r="H7" s="47" t="e">
        <f>AVERAGE(D7:F7)</f>
        <v>#DIV/0!</v>
      </c>
      <c r="I7" s="47" t="e">
        <f>STDEV(D7:F7)</f>
        <v>#DIV/0!</v>
      </c>
      <c r="J7" s="48" t="e">
        <f>I7/H7*100</f>
        <v>#DIV/0!</v>
      </c>
    </row>
    <row r="8" spans="1:6" ht="12.75">
      <c r="A8" s="2"/>
      <c r="B8" s="107" t="s">
        <v>43</v>
      </c>
      <c r="C8" s="108"/>
      <c r="D8" s="22">
        <v>7</v>
      </c>
      <c r="E8" s="23">
        <v>8</v>
      </c>
      <c r="F8" s="24">
        <v>9</v>
      </c>
    </row>
    <row r="9" spans="1:9" ht="42">
      <c r="A9" s="7" t="s">
        <v>121</v>
      </c>
      <c r="B9" s="8">
        <f>SUM(B3:B7)</f>
        <v>9</v>
      </c>
      <c r="C9" s="32" t="s">
        <v>112</v>
      </c>
      <c r="D9" s="32" t="s">
        <v>42</v>
      </c>
      <c r="E9" s="8"/>
      <c r="F9" s="8"/>
      <c r="G9" s="8"/>
      <c r="H9" s="8"/>
      <c r="I9" s="8"/>
    </row>
    <row r="10" spans="1:9" ht="12.75">
      <c r="A10" s="7"/>
      <c r="B10" s="8"/>
      <c r="C10" s="31"/>
      <c r="D10" s="32"/>
      <c r="E10" s="8"/>
      <c r="F10" s="8"/>
      <c r="G10" s="8"/>
      <c r="H10" s="8"/>
      <c r="I10" s="8"/>
    </row>
    <row r="11" spans="1:9" ht="12.75">
      <c r="A11" s="7"/>
      <c r="B11" s="8"/>
      <c r="C11" s="9"/>
      <c r="D11" s="123" t="s">
        <v>123</v>
      </c>
      <c r="E11" s="124"/>
      <c r="F11" s="8"/>
      <c r="G11" s="8" t="s">
        <v>147</v>
      </c>
      <c r="H11" s="8">
        <f>IF(COUNT(C3:F3)&gt;3,1,0)</f>
        <v>0</v>
      </c>
      <c r="I11" s="8"/>
    </row>
    <row r="12" spans="1:7" ht="12.75">
      <c r="A12" s="2"/>
      <c r="B12" s="2"/>
      <c r="C12" s="13" t="s">
        <v>104</v>
      </c>
      <c r="D12" s="10">
        <v>0.95</v>
      </c>
      <c r="E12" s="10">
        <v>0.99</v>
      </c>
      <c r="F12" s="2"/>
      <c r="G12" t="s">
        <v>88</v>
      </c>
    </row>
    <row r="13" spans="1:7" ht="12.75">
      <c r="A13" s="13" t="s">
        <v>105</v>
      </c>
      <c r="B13" s="16" t="e">
        <f>kS_xy/kS_xx</f>
        <v>#DIV/0!</v>
      </c>
      <c r="C13" s="14" t="e">
        <f>SQRT(kSsquare/S_xx)</f>
        <v>#DIV/0!</v>
      </c>
      <c r="D13" s="11" t="e">
        <f>$C13*tval_95</f>
        <v>#DIV/0!</v>
      </c>
      <c r="E13" s="11" t="e">
        <f>$C13*tval_99</f>
        <v>#DIV/0!</v>
      </c>
      <c r="F13" s="2"/>
      <c r="G13" t="str">
        <f>IF(H11&gt;0,IF(data_and_report!B17/kslope&lt;0.8,"Rekalibrering påkrævet",IF(data_and_report!B17/kslope&gt;1.25,"Rekalibrering påkrævet",kslope/data_and_report!B17)),"Not using control")</f>
        <v>Not using control</v>
      </c>
    </row>
    <row r="14" spans="1:7" ht="12.75">
      <c r="A14" s="13" t="s">
        <v>122</v>
      </c>
      <c r="B14" s="16" t="e">
        <f>kymean-kslope*kxmean</f>
        <v>#DIV/0!</v>
      </c>
      <c r="C14" s="15" t="e">
        <f>sqrtsquare*SQRT(kSumxsquare/(kS_xx*kNdata))</f>
        <v>#DIV/0!</v>
      </c>
      <c r="D14" s="12" t="e">
        <f>$C14*tval_95</f>
        <v>#DIV/0!</v>
      </c>
      <c r="E14" s="12" t="e">
        <f>$C14*tval_99</f>
        <v>#DIV/0!</v>
      </c>
      <c r="F14" s="2"/>
      <c r="G14" t="s">
        <v>87</v>
      </c>
    </row>
    <row r="15" spans="1:7" ht="12.75">
      <c r="A15" s="13" t="s">
        <v>3</v>
      </c>
      <c r="B15" s="17">
        <f>S_yyestd/S_yy</f>
        <v>0.9828046080813346</v>
      </c>
      <c r="C15" s="2"/>
      <c r="D15" s="2"/>
      <c r="E15" s="2"/>
      <c r="F15" s="2"/>
      <c r="G15">
        <v>0</v>
      </c>
    </row>
    <row r="16" spans="1:9" ht="12.75">
      <c r="A16" s="13" t="s">
        <v>4</v>
      </c>
      <c r="B16" s="17">
        <f>SQRT(B15)</f>
        <v>0.9913650226235212</v>
      </c>
      <c r="C16" s="2"/>
      <c r="D16" s="2"/>
      <c r="E16" s="2"/>
      <c r="F16" s="2"/>
      <c r="G16" t="s">
        <v>89</v>
      </c>
      <c r="I16">
        <f>IF(G15&gt;0,responsfaktor*data_and_report!B17,data_and_report!B17)</f>
        <v>63844744200.998726</v>
      </c>
    </row>
    <row r="17" spans="1:6" ht="12.75">
      <c r="A17" s="110" t="s">
        <v>106</v>
      </c>
      <c r="B17" s="126"/>
      <c r="C17" s="107" t="s">
        <v>124</v>
      </c>
      <c r="D17" s="108"/>
      <c r="E17" s="109"/>
      <c r="F17" s="2"/>
    </row>
    <row r="18" spans="1:6" ht="12.75">
      <c r="A18" s="13" t="s">
        <v>5</v>
      </c>
      <c r="B18" s="16" t="e">
        <f>kMS_reg/kSsquare</f>
        <v>#DIV/0!</v>
      </c>
      <c r="C18" s="107" t="e">
        <f>FDIST($B18,1,kdfree-2)</f>
        <v>#DIV/0!</v>
      </c>
      <c r="D18" s="108"/>
      <c r="E18" s="109"/>
      <c r="F18" s="2"/>
    </row>
    <row r="19" spans="1:6" ht="12.75">
      <c r="A19" s="107" t="s">
        <v>126</v>
      </c>
      <c r="B19" s="108"/>
      <c r="C19" s="108"/>
      <c r="D19" s="108"/>
      <c r="E19" s="109"/>
      <c r="F19" s="2"/>
    </row>
    <row r="20" spans="1:9" ht="12.75">
      <c r="A20" s="53"/>
      <c r="B20" s="55" t="s">
        <v>105</v>
      </c>
      <c r="C20" s="56"/>
      <c r="D20" s="55" t="s">
        <v>125</v>
      </c>
      <c r="E20" s="56"/>
      <c r="F20" s="2" t="s">
        <v>56</v>
      </c>
      <c r="G20" s="2"/>
      <c r="H20" s="2"/>
      <c r="I20" s="2"/>
    </row>
    <row r="21" spans="1:9" ht="12.75">
      <c r="A21" s="11" t="s">
        <v>53</v>
      </c>
      <c r="B21" s="67" t="e">
        <f>10*ksqrtsquare/kslope</f>
        <v>#DIV/0!</v>
      </c>
      <c r="C21" s="73" t="str">
        <f>C9</f>
        <v>Conc. Unit</v>
      </c>
      <c r="D21" s="67" t="e">
        <f>H21*C3*I3/H3</f>
        <v>#DIV/0!</v>
      </c>
      <c r="E21" s="73" t="str">
        <f>C9</f>
        <v>Conc. Unit</v>
      </c>
      <c r="F21" s="2" t="s">
        <v>113</v>
      </c>
      <c r="G21" s="2"/>
      <c r="H21" s="2">
        <v>10</v>
      </c>
      <c r="I21" s="2" t="s">
        <v>114</v>
      </c>
    </row>
    <row r="22" spans="1:9" ht="12.75">
      <c r="A22" s="54" t="s">
        <v>54</v>
      </c>
      <c r="B22" s="68" t="e">
        <f>3*ksqrtsquare/kslope</f>
        <v>#DIV/0!</v>
      </c>
      <c r="C22" s="74" t="str">
        <f>C9</f>
        <v>Conc. Unit</v>
      </c>
      <c r="D22" s="68" t="e">
        <f>H22*C3*I3/H3</f>
        <v>#DIV/0!</v>
      </c>
      <c r="E22" s="74" t="str">
        <f>C9</f>
        <v>Conc. Unit</v>
      </c>
      <c r="F22" s="2" t="s">
        <v>113</v>
      </c>
      <c r="G22" s="2"/>
      <c r="H22" s="2">
        <v>3.3</v>
      </c>
      <c r="I22" s="2" t="s">
        <v>114</v>
      </c>
    </row>
    <row r="77" spans="1:16" ht="12.75">
      <c r="A77" s="33" t="s">
        <v>77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 t="s">
        <v>57</v>
      </c>
    </row>
    <row r="78" spans="1:16" ht="12.75">
      <c r="A78" s="34" t="s">
        <v>7</v>
      </c>
      <c r="B78" s="34" t="s">
        <v>35</v>
      </c>
      <c r="C78" s="34" t="s">
        <v>8</v>
      </c>
      <c r="D78" s="34" t="s">
        <v>36</v>
      </c>
      <c r="E78" s="34" t="s">
        <v>9</v>
      </c>
      <c r="F78" s="34" t="s">
        <v>10</v>
      </c>
      <c r="G78" s="34" t="s">
        <v>14</v>
      </c>
      <c r="H78" s="34" t="s">
        <v>11</v>
      </c>
      <c r="I78" s="34" t="s">
        <v>15</v>
      </c>
      <c r="J78" s="35" t="s">
        <v>18</v>
      </c>
      <c r="K78" s="34" t="s">
        <v>37</v>
      </c>
      <c r="L78" s="34" t="s">
        <v>38</v>
      </c>
      <c r="M78" s="34" t="s">
        <v>17</v>
      </c>
      <c r="N78" s="34" t="s">
        <v>21</v>
      </c>
      <c r="O78" s="34" t="s">
        <v>43</v>
      </c>
      <c r="P78" s="34" t="s">
        <v>58</v>
      </c>
    </row>
    <row r="79" spans="1:16" ht="12.75">
      <c r="A79" s="36">
        <f>kontrolX1</f>
        <v>0</v>
      </c>
      <c r="B79" s="37">
        <f>A79^2</f>
        <v>0</v>
      </c>
      <c r="C79" s="38">
        <f>_ky1</f>
        <v>0</v>
      </c>
      <c r="D79" s="38">
        <f>C79^2</f>
        <v>0</v>
      </c>
      <c r="E79" s="39">
        <f aca="true" t="shared" si="0" ref="E79:E87">A79*C79</f>
        <v>0</v>
      </c>
      <c r="F79" s="40">
        <f aca="true" t="shared" si="1" ref="F79:F87">A79-kxmean</f>
        <v>0</v>
      </c>
      <c r="G79" s="38">
        <f>F79^2</f>
        <v>0</v>
      </c>
      <c r="H79" s="40">
        <f aca="true" t="shared" si="2" ref="H79:H87">C79-kymean</f>
        <v>0</v>
      </c>
      <c r="I79" s="38">
        <f aca="true" t="shared" si="3" ref="I79:I87">H79^2</f>
        <v>0</v>
      </c>
      <c r="J79" s="40" t="e">
        <f aca="true" t="shared" si="4" ref="J79:J87">A79*kslope+kintercept</f>
        <v>#DIV/0!</v>
      </c>
      <c r="K79" s="40" t="e">
        <f aca="true" t="shared" si="5" ref="K79:K87">J79-kymean</f>
        <v>#DIV/0!</v>
      </c>
      <c r="L79" s="38" t="e">
        <f>K79^2</f>
        <v>#DIV/0!</v>
      </c>
      <c r="M79" s="36" t="e">
        <f>C79-J79</f>
        <v>#DIV/0!</v>
      </c>
      <c r="N79" s="37" t="e">
        <f>M79^2</f>
        <v>#DIV/0!</v>
      </c>
      <c r="O79" s="40">
        <f>D4</f>
        <v>1</v>
      </c>
      <c r="P79" s="40" t="e">
        <f>M79/A79</f>
        <v>#DIV/0!</v>
      </c>
    </row>
    <row r="80" spans="1:16" ht="12.75">
      <c r="A80" s="36">
        <f>kontrolX1</f>
        <v>0</v>
      </c>
      <c r="B80" s="37">
        <f aca="true" t="shared" si="6" ref="B80:B87">A80^2</f>
        <v>0</v>
      </c>
      <c r="C80" s="38">
        <f>_ky2</f>
        <v>0</v>
      </c>
      <c r="D80" s="38">
        <f aca="true" t="shared" si="7" ref="D80:D87">C80^2</f>
        <v>0</v>
      </c>
      <c r="E80" s="39">
        <f t="shared" si="0"/>
        <v>0</v>
      </c>
      <c r="F80" s="39">
        <f t="shared" si="1"/>
        <v>0</v>
      </c>
      <c r="G80" s="38">
        <f aca="true" t="shared" si="8" ref="G80:G87">F80^2</f>
        <v>0</v>
      </c>
      <c r="H80" s="39">
        <f t="shared" si="2"/>
        <v>0</v>
      </c>
      <c r="I80" s="38">
        <f t="shared" si="3"/>
        <v>0</v>
      </c>
      <c r="J80" s="39" t="e">
        <f t="shared" si="4"/>
        <v>#DIV/0!</v>
      </c>
      <c r="K80" s="39" t="e">
        <f t="shared" si="5"/>
        <v>#DIV/0!</v>
      </c>
      <c r="L80" s="38" t="e">
        <f aca="true" t="shared" si="9" ref="L80:L87">K80^2</f>
        <v>#DIV/0!</v>
      </c>
      <c r="M80" s="36" t="e">
        <f aca="true" t="shared" si="10" ref="M80:M87">C80-J80</f>
        <v>#DIV/0!</v>
      </c>
      <c r="N80" s="37" t="e">
        <f aca="true" t="shared" si="11" ref="N80:N87">M80^2</f>
        <v>#DIV/0!</v>
      </c>
      <c r="O80" s="39">
        <f>E4</f>
        <v>2</v>
      </c>
      <c r="P80" s="39" t="e">
        <f aca="true" t="shared" si="12" ref="P80:P87">M80/A80</f>
        <v>#DIV/0!</v>
      </c>
    </row>
    <row r="81" spans="1:16" ht="12.75">
      <c r="A81" s="36">
        <f>kontrolX1</f>
        <v>0</v>
      </c>
      <c r="B81" s="37">
        <f t="shared" si="6"/>
        <v>0</v>
      </c>
      <c r="C81" s="38">
        <f>_ky3</f>
        <v>0</v>
      </c>
      <c r="D81" s="38">
        <f t="shared" si="7"/>
        <v>0</v>
      </c>
      <c r="E81" s="39">
        <f t="shared" si="0"/>
        <v>0</v>
      </c>
      <c r="F81" s="39">
        <f t="shared" si="1"/>
        <v>0</v>
      </c>
      <c r="G81" s="38">
        <f t="shared" si="8"/>
        <v>0</v>
      </c>
      <c r="H81" s="39">
        <f t="shared" si="2"/>
        <v>0</v>
      </c>
      <c r="I81" s="38">
        <f t="shared" si="3"/>
        <v>0</v>
      </c>
      <c r="J81" s="39" t="e">
        <f t="shared" si="4"/>
        <v>#DIV/0!</v>
      </c>
      <c r="K81" s="39" t="e">
        <f t="shared" si="5"/>
        <v>#DIV/0!</v>
      </c>
      <c r="L81" s="38" t="e">
        <f t="shared" si="9"/>
        <v>#DIV/0!</v>
      </c>
      <c r="M81" s="36" t="e">
        <f t="shared" si="10"/>
        <v>#DIV/0!</v>
      </c>
      <c r="N81" s="37" t="e">
        <f t="shared" si="11"/>
        <v>#DIV/0!</v>
      </c>
      <c r="O81" s="39">
        <f>F4</f>
        <v>3</v>
      </c>
      <c r="P81" s="39" t="e">
        <f t="shared" si="12"/>
        <v>#DIV/0!</v>
      </c>
    </row>
    <row r="82" spans="1:16" ht="12.75">
      <c r="A82" s="36">
        <f>KontrolX2</f>
        <v>0</v>
      </c>
      <c r="B82" s="37">
        <f t="shared" si="6"/>
        <v>0</v>
      </c>
      <c r="C82" s="38">
        <f>_ky4</f>
        <v>0</v>
      </c>
      <c r="D82" s="38">
        <f t="shared" si="7"/>
        <v>0</v>
      </c>
      <c r="E82" s="39">
        <f t="shared" si="0"/>
        <v>0</v>
      </c>
      <c r="F82" s="39">
        <f t="shared" si="1"/>
        <v>0</v>
      </c>
      <c r="G82" s="38">
        <f t="shared" si="8"/>
        <v>0</v>
      </c>
      <c r="H82" s="39">
        <f t="shared" si="2"/>
        <v>0</v>
      </c>
      <c r="I82" s="38">
        <f t="shared" si="3"/>
        <v>0</v>
      </c>
      <c r="J82" s="39" t="e">
        <f t="shared" si="4"/>
        <v>#DIV/0!</v>
      </c>
      <c r="K82" s="39" t="e">
        <f t="shared" si="5"/>
        <v>#DIV/0!</v>
      </c>
      <c r="L82" s="38" t="e">
        <f t="shared" si="9"/>
        <v>#DIV/0!</v>
      </c>
      <c r="M82" s="36" t="e">
        <f t="shared" si="10"/>
        <v>#DIV/0!</v>
      </c>
      <c r="N82" s="37" t="e">
        <f t="shared" si="11"/>
        <v>#DIV/0!</v>
      </c>
      <c r="O82" s="40">
        <f>D6</f>
        <v>4</v>
      </c>
      <c r="P82" s="39" t="e">
        <f t="shared" si="12"/>
        <v>#DIV/0!</v>
      </c>
    </row>
    <row r="83" spans="1:16" ht="12.75">
      <c r="A83" s="36">
        <f>KontrolX2</f>
        <v>0</v>
      </c>
      <c r="B83" s="37">
        <f t="shared" si="6"/>
        <v>0</v>
      </c>
      <c r="C83" s="38">
        <f>_ky5</f>
        <v>0</v>
      </c>
      <c r="D83" s="38">
        <f t="shared" si="7"/>
        <v>0</v>
      </c>
      <c r="E83" s="39">
        <f t="shared" si="0"/>
        <v>0</v>
      </c>
      <c r="F83" s="39">
        <f t="shared" si="1"/>
        <v>0</v>
      </c>
      <c r="G83" s="38">
        <f t="shared" si="8"/>
        <v>0</v>
      </c>
      <c r="H83" s="39">
        <f t="shared" si="2"/>
        <v>0</v>
      </c>
      <c r="I83" s="38">
        <f t="shared" si="3"/>
        <v>0</v>
      </c>
      <c r="J83" s="39" t="e">
        <f t="shared" si="4"/>
        <v>#DIV/0!</v>
      </c>
      <c r="K83" s="39" t="e">
        <f t="shared" si="5"/>
        <v>#DIV/0!</v>
      </c>
      <c r="L83" s="38" t="e">
        <f t="shared" si="9"/>
        <v>#DIV/0!</v>
      </c>
      <c r="M83" s="36" t="e">
        <f t="shared" si="10"/>
        <v>#DIV/0!</v>
      </c>
      <c r="N83" s="37" t="e">
        <f t="shared" si="11"/>
        <v>#DIV/0!</v>
      </c>
      <c r="O83" s="40">
        <f>E6</f>
        <v>5</v>
      </c>
      <c r="P83" s="39" t="e">
        <f t="shared" si="12"/>
        <v>#DIV/0!</v>
      </c>
    </row>
    <row r="84" spans="1:16" ht="12.75">
      <c r="A84" s="36">
        <f>KontrolX2</f>
        <v>0</v>
      </c>
      <c r="B84" s="37">
        <f t="shared" si="6"/>
        <v>0</v>
      </c>
      <c r="C84" s="38">
        <f>_ky6</f>
        <v>0</v>
      </c>
      <c r="D84" s="38">
        <f t="shared" si="7"/>
        <v>0</v>
      </c>
      <c r="E84" s="39">
        <f t="shared" si="0"/>
        <v>0</v>
      </c>
      <c r="F84" s="39">
        <f t="shared" si="1"/>
        <v>0</v>
      </c>
      <c r="G84" s="38">
        <f t="shared" si="8"/>
        <v>0</v>
      </c>
      <c r="H84" s="39">
        <f t="shared" si="2"/>
        <v>0</v>
      </c>
      <c r="I84" s="38">
        <f t="shared" si="3"/>
        <v>0</v>
      </c>
      <c r="J84" s="39" t="e">
        <f t="shared" si="4"/>
        <v>#DIV/0!</v>
      </c>
      <c r="K84" s="39" t="e">
        <f t="shared" si="5"/>
        <v>#DIV/0!</v>
      </c>
      <c r="L84" s="38" t="e">
        <f t="shared" si="9"/>
        <v>#DIV/0!</v>
      </c>
      <c r="M84" s="36" t="e">
        <f t="shared" si="10"/>
        <v>#DIV/0!</v>
      </c>
      <c r="N84" s="37" t="e">
        <f t="shared" si="11"/>
        <v>#DIV/0!</v>
      </c>
      <c r="O84" s="39">
        <f>F6</f>
        <v>6</v>
      </c>
      <c r="P84" s="39" t="e">
        <f t="shared" si="12"/>
        <v>#DIV/0!</v>
      </c>
    </row>
    <row r="85" spans="1:16" ht="12.75">
      <c r="A85" s="36">
        <f>KontrolX3</f>
        <v>0</v>
      </c>
      <c r="B85" s="37">
        <f t="shared" si="6"/>
        <v>0</v>
      </c>
      <c r="C85" s="38">
        <f>_ky7</f>
        <v>0</v>
      </c>
      <c r="D85" s="38">
        <f t="shared" si="7"/>
        <v>0</v>
      </c>
      <c r="E85" s="39">
        <f t="shared" si="0"/>
        <v>0</v>
      </c>
      <c r="F85" s="39">
        <f t="shared" si="1"/>
        <v>0</v>
      </c>
      <c r="G85" s="38">
        <f t="shared" si="8"/>
        <v>0</v>
      </c>
      <c r="H85" s="39">
        <f t="shared" si="2"/>
        <v>0</v>
      </c>
      <c r="I85" s="38">
        <f t="shared" si="3"/>
        <v>0</v>
      </c>
      <c r="J85" s="39" t="e">
        <f t="shared" si="4"/>
        <v>#DIV/0!</v>
      </c>
      <c r="K85" s="39" t="e">
        <f t="shared" si="5"/>
        <v>#DIV/0!</v>
      </c>
      <c r="L85" s="38" t="e">
        <f t="shared" si="9"/>
        <v>#DIV/0!</v>
      </c>
      <c r="M85" s="36" t="e">
        <f t="shared" si="10"/>
        <v>#DIV/0!</v>
      </c>
      <c r="N85" s="37" t="e">
        <f t="shared" si="11"/>
        <v>#DIV/0!</v>
      </c>
      <c r="O85" s="39">
        <f>D8</f>
        <v>7</v>
      </c>
      <c r="P85" s="39" t="e">
        <f t="shared" si="12"/>
        <v>#DIV/0!</v>
      </c>
    </row>
    <row r="86" spans="1:16" ht="12.75">
      <c r="A86" s="36">
        <f>KontrolX3</f>
        <v>0</v>
      </c>
      <c r="B86" s="37">
        <f t="shared" si="6"/>
        <v>0</v>
      </c>
      <c r="C86" s="38">
        <f>_ky8</f>
        <v>0</v>
      </c>
      <c r="D86" s="38">
        <f t="shared" si="7"/>
        <v>0</v>
      </c>
      <c r="E86" s="39">
        <f t="shared" si="0"/>
        <v>0</v>
      </c>
      <c r="F86" s="39">
        <f t="shared" si="1"/>
        <v>0</v>
      </c>
      <c r="G86" s="38">
        <f t="shared" si="8"/>
        <v>0</v>
      </c>
      <c r="H86" s="39">
        <f t="shared" si="2"/>
        <v>0</v>
      </c>
      <c r="I86" s="38">
        <f t="shared" si="3"/>
        <v>0</v>
      </c>
      <c r="J86" s="39" t="e">
        <f t="shared" si="4"/>
        <v>#DIV/0!</v>
      </c>
      <c r="K86" s="39" t="e">
        <f t="shared" si="5"/>
        <v>#DIV/0!</v>
      </c>
      <c r="L86" s="38" t="e">
        <f t="shared" si="9"/>
        <v>#DIV/0!</v>
      </c>
      <c r="M86" s="36" t="e">
        <f t="shared" si="10"/>
        <v>#DIV/0!</v>
      </c>
      <c r="N86" s="37" t="e">
        <f t="shared" si="11"/>
        <v>#DIV/0!</v>
      </c>
      <c r="O86" s="39">
        <f>E8</f>
        <v>8</v>
      </c>
      <c r="P86" s="39" t="e">
        <f t="shared" si="12"/>
        <v>#DIV/0!</v>
      </c>
    </row>
    <row r="87" spans="1:16" ht="12.75">
      <c r="A87" s="36">
        <f>KontrolX3</f>
        <v>0</v>
      </c>
      <c r="B87" s="37">
        <f t="shared" si="6"/>
        <v>0</v>
      </c>
      <c r="C87" s="42">
        <f>_ky9</f>
        <v>0</v>
      </c>
      <c r="D87" s="38">
        <f t="shared" si="7"/>
        <v>0</v>
      </c>
      <c r="E87" s="43">
        <f t="shared" si="0"/>
        <v>0</v>
      </c>
      <c r="F87" s="43">
        <f t="shared" si="1"/>
        <v>0</v>
      </c>
      <c r="G87" s="42">
        <f t="shared" si="8"/>
        <v>0</v>
      </c>
      <c r="H87" s="43">
        <f t="shared" si="2"/>
        <v>0</v>
      </c>
      <c r="I87" s="42">
        <f t="shared" si="3"/>
        <v>0</v>
      </c>
      <c r="J87" s="43" t="e">
        <f t="shared" si="4"/>
        <v>#DIV/0!</v>
      </c>
      <c r="K87" s="43" t="e">
        <f t="shared" si="5"/>
        <v>#DIV/0!</v>
      </c>
      <c r="L87" s="42" t="e">
        <f t="shared" si="9"/>
        <v>#DIV/0!</v>
      </c>
      <c r="M87" s="41" t="e">
        <f t="shared" si="10"/>
        <v>#DIV/0!</v>
      </c>
      <c r="N87" s="44" t="e">
        <f t="shared" si="11"/>
        <v>#DIV/0!</v>
      </c>
      <c r="O87" s="43">
        <f>F8</f>
        <v>9</v>
      </c>
      <c r="P87" s="43" t="e">
        <f t="shared" si="12"/>
        <v>#DIV/0!</v>
      </c>
    </row>
    <row r="88" spans="1:16" ht="12.75">
      <c r="A88" s="45">
        <f>AVERAGE(A79:A87)</f>
        <v>0</v>
      </c>
      <c r="B88" s="45"/>
      <c r="C88" s="45">
        <f>AVERAGE(C79:C87)</f>
        <v>0</v>
      </c>
      <c r="D88" s="45"/>
      <c r="E88" s="45">
        <f>AVERAGE(E79:E87)</f>
        <v>0</v>
      </c>
      <c r="F88" s="33"/>
      <c r="G88" s="33"/>
      <c r="H88" s="33"/>
      <c r="I88" s="33"/>
      <c r="J88" s="37" t="e">
        <f>AVERAGE(J79:J87)</f>
        <v>#DIV/0!</v>
      </c>
      <c r="K88" s="33"/>
      <c r="L88" s="33"/>
      <c r="M88" s="33"/>
      <c r="N88" s="33"/>
      <c r="O88" s="33"/>
      <c r="P88" s="33"/>
    </row>
    <row r="89" spans="1:16" ht="12.75">
      <c r="A89" s="33">
        <f>COUNT(A79:A87)</f>
        <v>9</v>
      </c>
      <c r="B89" s="33"/>
      <c r="C89" s="33"/>
      <c r="D89" s="33"/>
      <c r="E89" s="33"/>
      <c r="F89" s="33"/>
      <c r="G89" s="33"/>
      <c r="H89" s="33" t="s">
        <v>85</v>
      </c>
      <c r="I89" s="33">
        <f>A79</f>
        <v>0</v>
      </c>
      <c r="J89" s="33"/>
      <c r="K89" s="33"/>
      <c r="L89" s="33"/>
      <c r="M89" s="33"/>
      <c r="N89" s="33"/>
      <c r="O89" s="33"/>
      <c r="P89" s="33"/>
    </row>
    <row r="90" spans="1:16" ht="12.75">
      <c r="A90" s="33" t="s">
        <v>76</v>
      </c>
      <c r="B90" s="33">
        <f>COUNT(A79:A87)-2</f>
        <v>7</v>
      </c>
      <c r="C90" s="33" t="s">
        <v>82</v>
      </c>
      <c r="D90" s="33">
        <f>TINV(0.025,kdfree)</f>
        <v>2.841244248588209</v>
      </c>
      <c r="E90" s="33"/>
      <c r="F90" s="33"/>
      <c r="G90" s="33"/>
      <c r="H90" s="33" t="s">
        <v>86</v>
      </c>
      <c r="I90" s="33">
        <f>A87</f>
        <v>0</v>
      </c>
      <c r="J90" s="33"/>
      <c r="K90" s="33"/>
      <c r="L90" s="33"/>
      <c r="M90" s="33"/>
      <c r="N90" s="33"/>
      <c r="O90" s="33"/>
      <c r="P90" s="33"/>
    </row>
    <row r="91" spans="1:16" ht="12.75">
      <c r="A91" s="33" t="s">
        <v>64</v>
      </c>
      <c r="B91" s="33">
        <f>SUM(E79:E87)-kNdata*kymean*kxmean</f>
        <v>0</v>
      </c>
      <c r="C91" s="33" t="s">
        <v>83</v>
      </c>
      <c r="D91" s="33">
        <f>TINV(0.005,kdfree)</f>
        <v>4.029337177642485</v>
      </c>
      <c r="E91" s="33"/>
      <c r="F91" s="33"/>
      <c r="G91" s="33"/>
      <c r="H91" s="33" t="s">
        <v>28</v>
      </c>
      <c r="I91" s="33" t="s">
        <v>32</v>
      </c>
      <c r="J91" s="33" t="s">
        <v>33</v>
      </c>
      <c r="K91" s="33" t="s">
        <v>40</v>
      </c>
      <c r="L91" s="33" t="s">
        <v>41</v>
      </c>
      <c r="M91" s="33"/>
      <c r="N91" s="33"/>
      <c r="O91" s="33"/>
      <c r="P91" s="33"/>
    </row>
    <row r="92" spans="1:16" ht="12.75">
      <c r="A92" s="33" t="s">
        <v>65</v>
      </c>
      <c r="B92" s="33">
        <f>SUM(G79:G87)</f>
        <v>0</v>
      </c>
      <c r="C92" s="33"/>
      <c r="D92" s="33"/>
      <c r="E92" s="33"/>
      <c r="F92" s="33"/>
      <c r="G92" s="33"/>
      <c r="H92" s="33">
        <f>kXstart</f>
        <v>0</v>
      </c>
      <c r="I92" s="33" t="e">
        <f aca="true" t="shared" si="13" ref="I92:I123">kslope*$H92+kintercept-ktval_95*ksqrtsquare*SQRT(1+1/kNdata+($H92-kxmean)^2/kS_xx)</f>
        <v>#DIV/0!</v>
      </c>
      <c r="J92" s="33" t="e">
        <f aca="true" t="shared" si="14" ref="J92:J123">slope*$H92+kintercept+ktval_95*ksqrtsquare*SQRT(1+1/kNdata+($H92-kxmean)^2/kS_xx)</f>
        <v>#DIV/0!</v>
      </c>
      <c r="K92" s="33" t="e">
        <f aca="true" t="shared" si="15" ref="K92:K123">kslope*$H92+kintercept-ktval_99*ksqrtsquare*SQRT(1+1/kNdata+($H92-kxmean)^2/kS_xx)</f>
        <v>#DIV/0!</v>
      </c>
      <c r="L92" s="33" t="e">
        <f aca="true" t="shared" si="16" ref="L92:L123">slope*$H92+kintercept+ktval_99*ksqrtsquare*SQRT(1+1/kNdata+($H92-kxmean)^2/kS_xx)</f>
        <v>#DIV/0!</v>
      </c>
      <c r="M92" s="33"/>
      <c r="N92" s="33"/>
      <c r="O92" s="33"/>
      <c r="P92" s="33"/>
    </row>
    <row r="93" spans="1:16" ht="12.75">
      <c r="A93" s="33" t="s">
        <v>66</v>
      </c>
      <c r="B93" s="33">
        <f>SUM(I79:I87)</f>
        <v>0</v>
      </c>
      <c r="C93" s="33"/>
      <c r="D93" s="33"/>
      <c r="E93" s="33"/>
      <c r="F93" s="33"/>
      <c r="G93" s="33"/>
      <c r="H93" s="33">
        <f aca="true" t="shared" si="17" ref="H93:H124">H92+(kXstop-kXstart)/50</f>
        <v>0</v>
      </c>
      <c r="I93" s="33" t="e">
        <f t="shared" si="13"/>
        <v>#DIV/0!</v>
      </c>
      <c r="J93" s="33" t="e">
        <f t="shared" si="14"/>
        <v>#DIV/0!</v>
      </c>
      <c r="K93" s="33" t="e">
        <f t="shared" si="15"/>
        <v>#DIV/0!</v>
      </c>
      <c r="L93" s="33" t="e">
        <f t="shared" si="16"/>
        <v>#DIV/0!</v>
      </c>
      <c r="M93" s="33"/>
      <c r="N93" s="33"/>
      <c r="O93" s="33"/>
      <c r="P93" s="33"/>
    </row>
    <row r="94" spans="1:16" ht="12.75">
      <c r="A94" s="33" t="s">
        <v>67</v>
      </c>
      <c r="B94" s="33" t="e">
        <f>SUM(L79:L87)</f>
        <v>#DIV/0!</v>
      </c>
      <c r="C94" s="46" t="s">
        <v>84</v>
      </c>
      <c r="D94" s="33"/>
      <c r="E94" s="33"/>
      <c r="F94" s="33"/>
      <c r="G94" s="33"/>
      <c r="H94" s="33">
        <f t="shared" si="17"/>
        <v>0</v>
      </c>
      <c r="I94" s="33" t="e">
        <f t="shared" si="13"/>
        <v>#DIV/0!</v>
      </c>
      <c r="J94" s="33" t="e">
        <f t="shared" si="14"/>
        <v>#DIV/0!</v>
      </c>
      <c r="K94" s="33" t="e">
        <f t="shared" si="15"/>
        <v>#DIV/0!</v>
      </c>
      <c r="L94" s="33" t="e">
        <f t="shared" si="16"/>
        <v>#DIV/0!</v>
      </c>
      <c r="M94" s="33"/>
      <c r="N94" s="33"/>
      <c r="O94" s="33"/>
      <c r="P94" s="33"/>
    </row>
    <row r="95" spans="1:16" ht="12.75">
      <c r="A95" s="33" t="s">
        <v>68</v>
      </c>
      <c r="B95" s="33" t="e">
        <f>SUM(N79:N87)</f>
        <v>#DIV/0!</v>
      </c>
      <c r="C95" s="33"/>
      <c r="D95" s="33"/>
      <c r="E95" s="33"/>
      <c r="F95" s="33"/>
      <c r="G95" s="33"/>
      <c r="H95" s="33">
        <f t="shared" si="17"/>
        <v>0</v>
      </c>
      <c r="I95" s="33" t="e">
        <f t="shared" si="13"/>
        <v>#DIV/0!</v>
      </c>
      <c r="J95" s="33" t="e">
        <f t="shared" si="14"/>
        <v>#DIV/0!</v>
      </c>
      <c r="K95" s="33" t="e">
        <f t="shared" si="15"/>
        <v>#DIV/0!</v>
      </c>
      <c r="L95" s="33" t="e">
        <f t="shared" si="16"/>
        <v>#DIV/0!</v>
      </c>
      <c r="M95" s="33"/>
      <c r="N95" s="33"/>
      <c r="O95" s="33"/>
      <c r="P95" s="33"/>
    </row>
    <row r="96" spans="1:16" ht="12.75">
      <c r="A96" s="33" t="s">
        <v>69</v>
      </c>
      <c r="B96" s="33" t="e">
        <f>kSumSquares/(kNdata-2)</f>
        <v>#DIV/0!</v>
      </c>
      <c r="C96" s="33" t="s">
        <v>75</v>
      </c>
      <c r="D96" s="33" t="e">
        <f>SQRT(B96)</f>
        <v>#DIV/0!</v>
      </c>
      <c r="E96" s="33"/>
      <c r="F96" s="33"/>
      <c r="G96" s="33"/>
      <c r="H96" s="33">
        <f t="shared" si="17"/>
        <v>0</v>
      </c>
      <c r="I96" s="33" t="e">
        <f t="shared" si="13"/>
        <v>#DIV/0!</v>
      </c>
      <c r="J96" s="33" t="e">
        <f t="shared" si="14"/>
        <v>#DIV/0!</v>
      </c>
      <c r="K96" s="33" t="e">
        <f t="shared" si="15"/>
        <v>#DIV/0!</v>
      </c>
      <c r="L96" s="33" t="e">
        <f t="shared" si="16"/>
        <v>#DIV/0!</v>
      </c>
      <c r="M96" s="33"/>
      <c r="N96" s="33"/>
      <c r="O96" s="33"/>
      <c r="P96" s="33"/>
    </row>
    <row r="97" spans="1:16" ht="12.75">
      <c r="A97" s="33" t="s">
        <v>70</v>
      </c>
      <c r="B97" s="33" t="e">
        <f>SQRT(B96)</f>
        <v>#DIV/0!</v>
      </c>
      <c r="C97" s="33"/>
      <c r="D97" s="33"/>
      <c r="E97" s="33"/>
      <c r="F97" s="33"/>
      <c r="G97" s="33"/>
      <c r="H97" s="33">
        <f t="shared" si="17"/>
        <v>0</v>
      </c>
      <c r="I97" s="33" t="e">
        <f t="shared" si="13"/>
        <v>#DIV/0!</v>
      </c>
      <c r="J97" s="33" t="e">
        <f t="shared" si="14"/>
        <v>#DIV/0!</v>
      </c>
      <c r="K97" s="33" t="e">
        <f t="shared" si="15"/>
        <v>#DIV/0!</v>
      </c>
      <c r="L97" s="33" t="e">
        <f t="shared" si="16"/>
        <v>#DIV/0!</v>
      </c>
      <c r="M97" s="33"/>
      <c r="N97" s="33"/>
      <c r="O97" s="33"/>
      <c r="P97" s="33"/>
    </row>
    <row r="98" spans="1:16" ht="12.75">
      <c r="A98" s="33" t="s">
        <v>71</v>
      </c>
      <c r="B98" s="33">
        <f>SUM(B79:B87)</f>
        <v>0</v>
      </c>
      <c r="C98" s="33"/>
      <c r="D98" s="33"/>
      <c r="E98" s="33"/>
      <c r="F98" s="33"/>
      <c r="G98" s="33"/>
      <c r="H98" s="33">
        <f t="shared" si="17"/>
        <v>0</v>
      </c>
      <c r="I98" s="33" t="e">
        <f t="shared" si="13"/>
        <v>#DIV/0!</v>
      </c>
      <c r="J98" s="33" t="e">
        <f t="shared" si="14"/>
        <v>#DIV/0!</v>
      </c>
      <c r="K98" s="33" t="e">
        <f t="shared" si="15"/>
        <v>#DIV/0!</v>
      </c>
      <c r="L98" s="33" t="e">
        <f t="shared" si="16"/>
        <v>#DIV/0!</v>
      </c>
      <c r="M98" s="33"/>
      <c r="N98" s="33"/>
      <c r="O98" s="33"/>
      <c r="P98" s="33"/>
    </row>
    <row r="99" spans="1:16" ht="12.75">
      <c r="A99" s="33" t="s">
        <v>72</v>
      </c>
      <c r="B99" s="33">
        <f>SUM(D79:D87)</f>
        <v>0</v>
      </c>
      <c r="C99" s="33"/>
      <c r="D99" s="33"/>
      <c r="E99" s="33"/>
      <c r="F99" s="33"/>
      <c r="G99" s="33"/>
      <c r="H99" s="33">
        <f t="shared" si="17"/>
        <v>0</v>
      </c>
      <c r="I99" s="33" t="e">
        <f t="shared" si="13"/>
        <v>#DIV/0!</v>
      </c>
      <c r="J99" s="33" t="e">
        <f t="shared" si="14"/>
        <v>#DIV/0!</v>
      </c>
      <c r="K99" s="33" t="e">
        <f t="shared" si="15"/>
        <v>#DIV/0!</v>
      </c>
      <c r="L99" s="33" t="e">
        <f t="shared" si="16"/>
        <v>#DIV/0!</v>
      </c>
      <c r="M99" s="33"/>
      <c r="N99" s="33"/>
      <c r="O99" s="33"/>
      <c r="P99" s="33"/>
    </row>
    <row r="100" spans="1:16" ht="12.75">
      <c r="A100" s="33" t="s">
        <v>73</v>
      </c>
      <c r="B100" s="33" t="e">
        <f>ktval_95^2*ksvalue^2*kS_xx/kslope^2</f>
        <v>#DIV/0!</v>
      </c>
      <c r="C100" s="33"/>
      <c r="D100" s="33"/>
      <c r="E100" s="33"/>
      <c r="F100" s="33"/>
      <c r="G100" s="33"/>
      <c r="H100" s="33">
        <f t="shared" si="17"/>
        <v>0</v>
      </c>
      <c r="I100" s="33" t="e">
        <f t="shared" si="13"/>
        <v>#DIV/0!</v>
      </c>
      <c r="J100" s="33" t="e">
        <f t="shared" si="14"/>
        <v>#DIV/0!</v>
      </c>
      <c r="K100" s="33" t="e">
        <f t="shared" si="15"/>
        <v>#DIV/0!</v>
      </c>
      <c r="L100" s="33" t="e">
        <f t="shared" si="16"/>
        <v>#DIV/0!</v>
      </c>
      <c r="M100" s="33"/>
      <c r="N100" s="33"/>
      <c r="O100" s="33"/>
      <c r="P100" s="33"/>
    </row>
    <row r="101" spans="1:16" ht="12.75">
      <c r="A101" s="33" t="s">
        <v>74</v>
      </c>
      <c r="B101" s="33" t="e">
        <f>ktval_99^2*ksvalue^2*kS_xx/kslope^2</f>
        <v>#DIV/0!</v>
      </c>
      <c r="C101" s="33"/>
      <c r="D101" s="33"/>
      <c r="E101" s="33"/>
      <c r="F101" s="33"/>
      <c r="G101" s="33"/>
      <c r="H101" s="33">
        <f t="shared" si="17"/>
        <v>0</v>
      </c>
      <c r="I101" s="33" t="e">
        <f t="shared" si="13"/>
        <v>#DIV/0!</v>
      </c>
      <c r="J101" s="33" t="e">
        <f t="shared" si="14"/>
        <v>#DIV/0!</v>
      </c>
      <c r="K101" s="33" t="e">
        <f t="shared" si="15"/>
        <v>#DIV/0!</v>
      </c>
      <c r="L101" s="33" t="e">
        <f t="shared" si="16"/>
        <v>#DIV/0!</v>
      </c>
      <c r="M101" s="33"/>
      <c r="N101" s="33"/>
      <c r="O101" s="33"/>
      <c r="P101" s="33"/>
    </row>
    <row r="102" spans="1:16" ht="12.75">
      <c r="A102" s="33"/>
      <c r="B102" s="33"/>
      <c r="C102" s="33"/>
      <c r="D102" s="33"/>
      <c r="E102" s="33"/>
      <c r="F102" s="33"/>
      <c r="G102" s="33"/>
      <c r="H102" s="33">
        <f t="shared" si="17"/>
        <v>0</v>
      </c>
      <c r="I102" s="33" t="e">
        <f t="shared" si="13"/>
        <v>#DIV/0!</v>
      </c>
      <c r="J102" s="33" t="e">
        <f t="shared" si="14"/>
        <v>#DIV/0!</v>
      </c>
      <c r="K102" s="33" t="e">
        <f t="shared" si="15"/>
        <v>#DIV/0!</v>
      </c>
      <c r="L102" s="33" t="e">
        <f t="shared" si="16"/>
        <v>#DIV/0!</v>
      </c>
      <c r="M102" s="33"/>
      <c r="N102" s="33"/>
      <c r="O102" s="33"/>
      <c r="P102" s="33"/>
    </row>
    <row r="103" spans="1:16" ht="12.75">
      <c r="A103" s="33" t="s">
        <v>46</v>
      </c>
      <c r="B103" s="33"/>
      <c r="C103" s="33"/>
      <c r="D103" s="33"/>
      <c r="E103" s="33"/>
      <c r="F103" s="33"/>
      <c r="G103" s="33"/>
      <c r="H103" s="33">
        <f t="shared" si="17"/>
        <v>0</v>
      </c>
      <c r="I103" s="33" t="e">
        <f t="shared" si="13"/>
        <v>#DIV/0!</v>
      </c>
      <c r="J103" s="33" t="e">
        <f t="shared" si="14"/>
        <v>#DIV/0!</v>
      </c>
      <c r="K103" s="33" t="e">
        <f t="shared" si="15"/>
        <v>#DIV/0!</v>
      </c>
      <c r="L103" s="33" t="e">
        <f t="shared" si="16"/>
        <v>#DIV/0!</v>
      </c>
      <c r="M103" s="33"/>
      <c r="N103" s="33"/>
      <c r="O103" s="33"/>
      <c r="P103" s="33"/>
    </row>
    <row r="104" spans="1:16" ht="12.75">
      <c r="A104" s="33" t="s">
        <v>47</v>
      </c>
      <c r="B104" s="33"/>
      <c r="C104" s="33"/>
      <c r="D104" s="33"/>
      <c r="E104" s="33"/>
      <c r="F104" s="33"/>
      <c r="G104" s="33"/>
      <c r="H104" s="33">
        <f t="shared" si="17"/>
        <v>0</v>
      </c>
      <c r="I104" s="33" t="e">
        <f t="shared" si="13"/>
        <v>#DIV/0!</v>
      </c>
      <c r="J104" s="33" t="e">
        <f t="shared" si="14"/>
        <v>#DIV/0!</v>
      </c>
      <c r="K104" s="33" t="e">
        <f t="shared" si="15"/>
        <v>#DIV/0!</v>
      </c>
      <c r="L104" s="33" t="e">
        <f t="shared" si="16"/>
        <v>#DIV/0!</v>
      </c>
      <c r="M104" s="33"/>
      <c r="N104" s="33"/>
      <c r="O104" s="33"/>
      <c r="P104" s="33"/>
    </row>
    <row r="105" spans="1:16" ht="12.75">
      <c r="A105" s="33" t="s">
        <v>48</v>
      </c>
      <c r="B105" s="33"/>
      <c r="C105" s="33"/>
      <c r="D105" s="33"/>
      <c r="E105" s="33"/>
      <c r="F105" s="33"/>
      <c r="G105" s="33"/>
      <c r="H105" s="33">
        <f t="shared" si="17"/>
        <v>0</v>
      </c>
      <c r="I105" s="33" t="e">
        <f t="shared" si="13"/>
        <v>#DIV/0!</v>
      </c>
      <c r="J105" s="33" t="e">
        <f t="shared" si="14"/>
        <v>#DIV/0!</v>
      </c>
      <c r="K105" s="33" t="e">
        <f t="shared" si="15"/>
        <v>#DIV/0!</v>
      </c>
      <c r="L105" s="33" t="e">
        <f t="shared" si="16"/>
        <v>#DIV/0!</v>
      </c>
      <c r="M105" s="33"/>
      <c r="N105" s="33"/>
      <c r="O105" s="33"/>
      <c r="P105" s="33"/>
    </row>
    <row r="106" spans="1:16" ht="12.75">
      <c r="A106" s="33"/>
      <c r="B106" s="33"/>
      <c r="C106" s="33"/>
      <c r="D106" s="33"/>
      <c r="E106" s="33"/>
      <c r="F106" s="33"/>
      <c r="G106" s="33"/>
      <c r="H106" s="33">
        <f t="shared" si="17"/>
        <v>0</v>
      </c>
      <c r="I106" s="33" t="e">
        <f t="shared" si="13"/>
        <v>#DIV/0!</v>
      </c>
      <c r="J106" s="33" t="e">
        <f t="shared" si="14"/>
        <v>#DIV/0!</v>
      </c>
      <c r="K106" s="33" t="e">
        <f t="shared" si="15"/>
        <v>#DIV/0!</v>
      </c>
      <c r="L106" s="33" t="e">
        <f t="shared" si="16"/>
        <v>#DIV/0!</v>
      </c>
      <c r="M106" s="33"/>
      <c r="N106" s="33"/>
      <c r="O106" s="33"/>
      <c r="P106" s="33"/>
    </row>
    <row r="107" spans="1:16" ht="12.75">
      <c r="A107" s="37" t="s">
        <v>78</v>
      </c>
      <c r="B107" s="37"/>
      <c r="C107" s="37"/>
      <c r="D107" s="37"/>
      <c r="E107" s="37"/>
      <c r="F107" s="37"/>
      <c r="G107" s="37"/>
      <c r="H107" s="33">
        <f t="shared" si="17"/>
        <v>0</v>
      </c>
      <c r="I107" s="33" t="e">
        <f t="shared" si="13"/>
        <v>#DIV/0!</v>
      </c>
      <c r="J107" s="33" t="e">
        <f t="shared" si="14"/>
        <v>#DIV/0!</v>
      </c>
      <c r="K107" s="33" t="e">
        <f t="shared" si="15"/>
        <v>#DIV/0!</v>
      </c>
      <c r="L107" s="33" t="e">
        <f t="shared" si="16"/>
        <v>#DIV/0!</v>
      </c>
      <c r="M107" s="33"/>
      <c r="N107" s="33"/>
      <c r="O107" s="33"/>
      <c r="P107" s="33"/>
    </row>
    <row r="108" spans="1:16" ht="12.75">
      <c r="A108" s="71" t="s">
        <v>79</v>
      </c>
      <c r="B108" s="47" t="s">
        <v>80</v>
      </c>
      <c r="C108" s="49" t="s">
        <v>81</v>
      </c>
      <c r="D108" s="49"/>
      <c r="E108" s="125"/>
      <c r="F108" s="125"/>
      <c r="G108" s="64"/>
      <c r="H108" s="33">
        <f t="shared" si="17"/>
        <v>0</v>
      </c>
      <c r="I108" s="33" t="e">
        <f t="shared" si="13"/>
        <v>#DIV/0!</v>
      </c>
      <c r="J108" s="33" t="e">
        <f t="shared" si="14"/>
        <v>#DIV/0!</v>
      </c>
      <c r="K108" s="33" t="e">
        <f t="shared" si="15"/>
        <v>#DIV/0!</v>
      </c>
      <c r="L108" s="33" t="e">
        <f t="shared" si="16"/>
        <v>#DIV/0!</v>
      </c>
      <c r="M108" s="33"/>
      <c r="N108" s="33"/>
      <c r="O108" s="33"/>
      <c r="P108" s="33"/>
    </row>
    <row r="109" spans="1:16" ht="12.75">
      <c r="A109" s="49">
        <f>AVERAGE(A79:A81)</f>
        <v>0</v>
      </c>
      <c r="B109" s="49">
        <f>AVERAGE(C79:C81)</f>
        <v>0</v>
      </c>
      <c r="C109" s="49" t="e">
        <f>I3</f>
        <v>#DIV/0!</v>
      </c>
      <c r="D109" s="49"/>
      <c r="E109" s="65"/>
      <c r="F109" s="65"/>
      <c r="G109" s="65"/>
      <c r="H109" s="33">
        <f t="shared" si="17"/>
        <v>0</v>
      </c>
      <c r="I109" s="33" t="e">
        <f t="shared" si="13"/>
        <v>#DIV/0!</v>
      </c>
      <c r="J109" s="33" t="e">
        <f t="shared" si="14"/>
        <v>#DIV/0!</v>
      </c>
      <c r="K109" s="33" t="e">
        <f t="shared" si="15"/>
        <v>#DIV/0!</v>
      </c>
      <c r="L109" s="33" t="e">
        <f t="shared" si="16"/>
        <v>#DIV/0!</v>
      </c>
      <c r="M109" s="33"/>
      <c r="N109" s="33"/>
      <c r="O109" s="33"/>
      <c r="P109" s="33"/>
    </row>
    <row r="110" spans="1:16" ht="12.75">
      <c r="A110" s="49">
        <f>AVERAGE(A82:A84)</f>
        <v>0</v>
      </c>
      <c r="B110" s="49">
        <f>AVERAGE(C82:C84)</f>
        <v>0</v>
      </c>
      <c r="C110" s="49" t="e">
        <f>I5</f>
        <v>#DIV/0!</v>
      </c>
      <c r="D110" s="49"/>
      <c r="E110" s="37"/>
      <c r="F110" s="37"/>
      <c r="G110" s="37"/>
      <c r="H110" s="33">
        <f t="shared" si="17"/>
        <v>0</v>
      </c>
      <c r="I110" s="33" t="e">
        <f t="shared" si="13"/>
        <v>#DIV/0!</v>
      </c>
      <c r="J110" s="33" t="e">
        <f t="shared" si="14"/>
        <v>#DIV/0!</v>
      </c>
      <c r="K110" s="33" t="e">
        <f t="shared" si="15"/>
        <v>#DIV/0!</v>
      </c>
      <c r="L110" s="33" t="e">
        <f t="shared" si="16"/>
        <v>#DIV/0!</v>
      </c>
      <c r="M110" s="33"/>
      <c r="N110" s="33"/>
      <c r="O110" s="33"/>
      <c r="P110" s="33"/>
    </row>
    <row r="111" spans="1:16" ht="12.75">
      <c r="A111" s="49">
        <f>AVERAGE(A85:A87)</f>
        <v>0</v>
      </c>
      <c r="B111" s="49">
        <f>AVERAGE(C85:C87)</f>
        <v>0</v>
      </c>
      <c r="C111" s="49" t="e">
        <f>I7</f>
        <v>#DIV/0!</v>
      </c>
      <c r="D111" s="49"/>
      <c r="E111" s="125"/>
      <c r="F111" s="125"/>
      <c r="G111" s="64"/>
      <c r="H111" s="33">
        <f t="shared" si="17"/>
        <v>0</v>
      </c>
      <c r="I111" s="33" t="e">
        <f t="shared" si="13"/>
        <v>#DIV/0!</v>
      </c>
      <c r="J111" s="33" t="e">
        <f t="shared" si="14"/>
        <v>#DIV/0!</v>
      </c>
      <c r="K111" s="33" t="e">
        <f t="shared" si="15"/>
        <v>#DIV/0!</v>
      </c>
      <c r="L111" s="33" t="e">
        <f t="shared" si="16"/>
        <v>#DIV/0!</v>
      </c>
      <c r="M111" s="33"/>
      <c r="N111" s="33"/>
      <c r="O111" s="33"/>
      <c r="P111" s="33"/>
    </row>
    <row r="112" spans="1:16" ht="12.75">
      <c r="A112" s="64"/>
      <c r="B112" s="64"/>
      <c r="C112" s="65"/>
      <c r="D112" s="65"/>
      <c r="E112" s="65"/>
      <c r="F112" s="65"/>
      <c r="G112" s="65"/>
      <c r="H112" s="33">
        <f t="shared" si="17"/>
        <v>0</v>
      </c>
      <c r="I112" s="33" t="e">
        <f t="shared" si="13"/>
        <v>#DIV/0!</v>
      </c>
      <c r="J112" s="33" t="e">
        <f t="shared" si="14"/>
        <v>#DIV/0!</v>
      </c>
      <c r="K112" s="33" t="e">
        <f t="shared" si="15"/>
        <v>#DIV/0!</v>
      </c>
      <c r="L112" s="33" t="e">
        <f t="shared" si="16"/>
        <v>#DIV/0!</v>
      </c>
      <c r="M112" s="33"/>
      <c r="N112" s="33"/>
      <c r="O112" s="33"/>
      <c r="P112" s="33"/>
    </row>
    <row r="113" spans="1:16" ht="12.75">
      <c r="A113" s="37"/>
      <c r="B113" s="37"/>
      <c r="C113" s="69"/>
      <c r="D113" s="37"/>
      <c r="E113" s="69"/>
      <c r="F113" s="37"/>
      <c r="G113" s="37"/>
      <c r="H113" s="33">
        <f t="shared" si="17"/>
        <v>0</v>
      </c>
      <c r="I113" s="33" t="e">
        <f t="shared" si="13"/>
        <v>#DIV/0!</v>
      </c>
      <c r="J113" s="33" t="e">
        <f t="shared" si="14"/>
        <v>#DIV/0!</v>
      </c>
      <c r="K113" s="33" t="e">
        <f t="shared" si="15"/>
        <v>#DIV/0!</v>
      </c>
      <c r="L113" s="33" t="e">
        <f t="shared" si="16"/>
        <v>#DIV/0!</v>
      </c>
      <c r="M113" s="33"/>
      <c r="N113" s="33"/>
      <c r="O113" s="33"/>
      <c r="P113" s="33"/>
    </row>
    <row r="114" spans="1:16" ht="12.75">
      <c r="A114" s="37"/>
      <c r="B114" s="37"/>
      <c r="C114" s="37"/>
      <c r="D114" s="37"/>
      <c r="E114" s="37"/>
      <c r="F114" s="37"/>
      <c r="G114" s="37"/>
      <c r="H114" s="33">
        <f t="shared" si="17"/>
        <v>0</v>
      </c>
      <c r="I114" s="33" t="e">
        <f t="shared" si="13"/>
        <v>#DIV/0!</v>
      </c>
      <c r="J114" s="33" t="e">
        <f t="shared" si="14"/>
        <v>#DIV/0!</v>
      </c>
      <c r="K114" s="33" t="e">
        <f t="shared" si="15"/>
        <v>#DIV/0!</v>
      </c>
      <c r="L114" s="33" t="e">
        <f t="shared" si="16"/>
        <v>#DIV/0!</v>
      </c>
      <c r="M114" s="33"/>
      <c r="N114" s="33"/>
      <c r="O114" s="33"/>
      <c r="P114" s="33"/>
    </row>
    <row r="115" spans="1:16" ht="12.75">
      <c r="A115" s="37"/>
      <c r="B115" s="37"/>
      <c r="C115" s="37"/>
      <c r="D115" s="37"/>
      <c r="E115" s="37"/>
      <c r="F115" s="37"/>
      <c r="G115" s="37"/>
      <c r="H115" s="33">
        <f t="shared" si="17"/>
        <v>0</v>
      </c>
      <c r="I115" s="33" t="e">
        <f t="shared" si="13"/>
        <v>#DIV/0!</v>
      </c>
      <c r="J115" s="33" t="e">
        <f t="shared" si="14"/>
        <v>#DIV/0!</v>
      </c>
      <c r="K115" s="33" t="e">
        <f t="shared" si="15"/>
        <v>#DIV/0!</v>
      </c>
      <c r="L115" s="33" t="e">
        <f t="shared" si="16"/>
        <v>#DIV/0!</v>
      </c>
      <c r="M115" s="33"/>
      <c r="N115" s="33"/>
      <c r="O115" s="33"/>
      <c r="P115" s="33"/>
    </row>
    <row r="116" spans="1:16" ht="12.75">
      <c r="A116" s="64"/>
      <c r="B116" s="70"/>
      <c r="C116" s="64"/>
      <c r="D116" s="125"/>
      <c r="E116" s="127"/>
      <c r="F116" s="125"/>
      <c r="G116" s="127"/>
      <c r="H116" s="33">
        <f t="shared" si="17"/>
        <v>0</v>
      </c>
      <c r="I116" s="33" t="e">
        <f t="shared" si="13"/>
        <v>#DIV/0!</v>
      </c>
      <c r="J116" s="33" t="e">
        <f t="shared" si="14"/>
        <v>#DIV/0!</v>
      </c>
      <c r="K116" s="33" t="e">
        <f t="shared" si="15"/>
        <v>#DIV/0!</v>
      </c>
      <c r="L116" s="33" t="e">
        <f t="shared" si="16"/>
        <v>#DIV/0!</v>
      </c>
      <c r="M116" s="33"/>
      <c r="N116" s="33"/>
      <c r="O116" s="33"/>
      <c r="P116" s="33"/>
    </row>
    <row r="117" spans="1:16" ht="12.75">
      <c r="A117" s="64"/>
      <c r="B117" s="70"/>
      <c r="C117" s="64"/>
      <c r="D117" s="65"/>
      <c r="E117" s="65"/>
      <c r="F117" s="65"/>
      <c r="G117" s="65"/>
      <c r="H117" s="33">
        <f t="shared" si="17"/>
        <v>0</v>
      </c>
      <c r="I117" s="33" t="e">
        <f t="shared" si="13"/>
        <v>#DIV/0!</v>
      </c>
      <c r="J117" s="33" t="e">
        <f t="shared" si="14"/>
        <v>#DIV/0!</v>
      </c>
      <c r="K117" s="33" t="e">
        <f t="shared" si="15"/>
        <v>#DIV/0!</v>
      </c>
      <c r="L117" s="33" t="e">
        <f t="shared" si="16"/>
        <v>#DIV/0!</v>
      </c>
      <c r="M117" s="33"/>
      <c r="N117" s="33"/>
      <c r="O117" s="33"/>
      <c r="P117" s="33"/>
    </row>
    <row r="118" spans="1:16" ht="12.75">
      <c r="A118" s="37"/>
      <c r="B118" s="70"/>
      <c r="C118" s="37"/>
      <c r="D118" s="69"/>
      <c r="E118" s="37"/>
      <c r="F118" s="69"/>
      <c r="G118" s="37"/>
      <c r="H118" s="33">
        <f t="shared" si="17"/>
        <v>0</v>
      </c>
      <c r="I118" s="33" t="e">
        <f t="shared" si="13"/>
        <v>#DIV/0!</v>
      </c>
      <c r="J118" s="33" t="e">
        <f t="shared" si="14"/>
        <v>#DIV/0!</v>
      </c>
      <c r="K118" s="33" t="e">
        <f t="shared" si="15"/>
        <v>#DIV/0!</v>
      </c>
      <c r="L118" s="33" t="e">
        <f t="shared" si="16"/>
        <v>#DIV/0!</v>
      </c>
      <c r="M118" s="33"/>
      <c r="N118" s="33"/>
      <c r="O118" s="33"/>
      <c r="P118" s="33"/>
    </row>
    <row r="119" spans="1:16" ht="12.75">
      <c r="A119" s="37"/>
      <c r="B119" s="37"/>
      <c r="C119" s="37"/>
      <c r="D119" s="37"/>
      <c r="E119" s="37"/>
      <c r="F119" s="37"/>
      <c r="G119" s="37"/>
      <c r="H119" s="33">
        <f t="shared" si="17"/>
        <v>0</v>
      </c>
      <c r="I119" s="33" t="e">
        <f t="shared" si="13"/>
        <v>#DIV/0!</v>
      </c>
      <c r="J119" s="33" t="e">
        <f t="shared" si="14"/>
        <v>#DIV/0!</v>
      </c>
      <c r="K119" s="33" t="e">
        <f t="shared" si="15"/>
        <v>#DIV/0!</v>
      </c>
      <c r="L119" s="33" t="e">
        <f t="shared" si="16"/>
        <v>#DIV/0!</v>
      </c>
      <c r="M119" s="33"/>
      <c r="N119" s="33"/>
      <c r="O119" s="33"/>
      <c r="P119" s="33"/>
    </row>
    <row r="120" spans="1:16" ht="12.75">
      <c r="A120" s="37"/>
      <c r="B120" s="33"/>
      <c r="C120" s="33"/>
      <c r="D120" s="33"/>
      <c r="E120" s="33"/>
      <c r="F120" s="33"/>
      <c r="G120" s="33"/>
      <c r="H120" s="33">
        <f t="shared" si="17"/>
        <v>0</v>
      </c>
      <c r="I120" s="33" t="e">
        <f t="shared" si="13"/>
        <v>#DIV/0!</v>
      </c>
      <c r="J120" s="33" t="e">
        <f t="shared" si="14"/>
        <v>#DIV/0!</v>
      </c>
      <c r="K120" s="33" t="e">
        <f t="shared" si="15"/>
        <v>#DIV/0!</v>
      </c>
      <c r="L120" s="33" t="e">
        <f t="shared" si="16"/>
        <v>#DIV/0!</v>
      </c>
      <c r="M120" s="33"/>
      <c r="N120" s="33"/>
      <c r="O120" s="33"/>
      <c r="P120" s="33"/>
    </row>
    <row r="121" spans="1:16" ht="12.75">
      <c r="A121" s="37"/>
      <c r="B121" s="33"/>
      <c r="C121" s="33"/>
      <c r="D121" s="33"/>
      <c r="E121" s="33"/>
      <c r="F121" s="33"/>
      <c r="G121" s="33"/>
      <c r="H121" s="33">
        <f t="shared" si="17"/>
        <v>0</v>
      </c>
      <c r="I121" s="33" t="e">
        <f t="shared" si="13"/>
        <v>#DIV/0!</v>
      </c>
      <c r="J121" s="33" t="e">
        <f t="shared" si="14"/>
        <v>#DIV/0!</v>
      </c>
      <c r="K121" s="33" t="e">
        <f t="shared" si="15"/>
        <v>#DIV/0!</v>
      </c>
      <c r="L121" s="33" t="e">
        <f t="shared" si="16"/>
        <v>#DIV/0!</v>
      </c>
      <c r="M121" s="33"/>
      <c r="N121" s="33"/>
      <c r="O121" s="33"/>
      <c r="P121" s="33"/>
    </row>
    <row r="122" spans="1:16" ht="12.75">
      <c r="A122" s="33"/>
      <c r="B122" s="33"/>
      <c r="C122" s="33"/>
      <c r="D122" s="33"/>
      <c r="E122" s="33"/>
      <c r="F122" s="33"/>
      <c r="G122" s="33"/>
      <c r="H122" s="33">
        <f t="shared" si="17"/>
        <v>0</v>
      </c>
      <c r="I122" s="33" t="e">
        <f t="shared" si="13"/>
        <v>#DIV/0!</v>
      </c>
      <c r="J122" s="33" t="e">
        <f t="shared" si="14"/>
        <v>#DIV/0!</v>
      </c>
      <c r="K122" s="33" t="e">
        <f t="shared" si="15"/>
        <v>#DIV/0!</v>
      </c>
      <c r="L122" s="33" t="e">
        <f t="shared" si="16"/>
        <v>#DIV/0!</v>
      </c>
      <c r="M122" s="33"/>
      <c r="N122" s="33"/>
      <c r="O122" s="33"/>
      <c r="P122" s="33"/>
    </row>
    <row r="123" spans="1:16" ht="12.75">
      <c r="A123" s="33"/>
      <c r="B123" s="33"/>
      <c r="C123" s="33"/>
      <c r="D123" s="33"/>
      <c r="E123" s="33"/>
      <c r="F123" s="33"/>
      <c r="G123" s="33"/>
      <c r="H123" s="33">
        <f t="shared" si="17"/>
        <v>0</v>
      </c>
      <c r="I123" s="33" t="e">
        <f t="shared" si="13"/>
        <v>#DIV/0!</v>
      </c>
      <c r="J123" s="33" t="e">
        <f t="shared" si="14"/>
        <v>#DIV/0!</v>
      </c>
      <c r="K123" s="33" t="e">
        <f t="shared" si="15"/>
        <v>#DIV/0!</v>
      </c>
      <c r="L123" s="33" t="e">
        <f t="shared" si="16"/>
        <v>#DIV/0!</v>
      </c>
      <c r="M123" s="33"/>
      <c r="N123" s="33"/>
      <c r="O123" s="33"/>
      <c r="P123" s="33"/>
    </row>
    <row r="124" spans="1:16" ht="12.75">
      <c r="A124" s="33"/>
      <c r="B124" s="33"/>
      <c r="C124" s="33"/>
      <c r="D124" s="33"/>
      <c r="E124" s="33"/>
      <c r="F124" s="33"/>
      <c r="G124" s="33"/>
      <c r="H124" s="33">
        <f t="shared" si="17"/>
        <v>0</v>
      </c>
      <c r="I124" s="33" t="e">
        <f aca="true" t="shared" si="18" ref="I124:I142">kslope*$H124+kintercept-ktval_95*ksqrtsquare*SQRT(1+1/kNdata+($H124-kxmean)^2/kS_xx)</f>
        <v>#DIV/0!</v>
      </c>
      <c r="J124" s="33" t="e">
        <f aca="true" t="shared" si="19" ref="J124:J142">slope*$H124+kintercept+ktval_95*ksqrtsquare*SQRT(1+1/kNdata+($H124-kxmean)^2/kS_xx)</f>
        <v>#DIV/0!</v>
      </c>
      <c r="K124" s="33" t="e">
        <f aca="true" t="shared" si="20" ref="K124:K142">kslope*$H124+kintercept-ktval_99*ksqrtsquare*SQRT(1+1/kNdata+($H124-kxmean)^2/kS_xx)</f>
        <v>#DIV/0!</v>
      </c>
      <c r="L124" s="33" t="e">
        <f aca="true" t="shared" si="21" ref="L124:L142">slope*$H124+kintercept+ktval_99*ksqrtsquare*SQRT(1+1/kNdata+($H124-kxmean)^2/kS_xx)</f>
        <v>#DIV/0!</v>
      </c>
      <c r="M124" s="33"/>
      <c r="N124" s="33"/>
      <c r="O124" s="33"/>
      <c r="P124" s="33"/>
    </row>
    <row r="125" spans="1:16" ht="12.75">
      <c r="A125" s="33"/>
      <c r="B125" s="33"/>
      <c r="C125" s="33"/>
      <c r="D125" s="33"/>
      <c r="E125" s="33"/>
      <c r="F125" s="33"/>
      <c r="G125" s="33"/>
      <c r="H125" s="33">
        <f aca="true" t="shared" si="22" ref="H125:H142">H124+(kXstop-kXstart)/50</f>
        <v>0</v>
      </c>
      <c r="I125" s="33" t="e">
        <f t="shared" si="18"/>
        <v>#DIV/0!</v>
      </c>
      <c r="J125" s="33" t="e">
        <f t="shared" si="19"/>
        <v>#DIV/0!</v>
      </c>
      <c r="K125" s="33" t="e">
        <f t="shared" si="20"/>
        <v>#DIV/0!</v>
      </c>
      <c r="L125" s="33" t="e">
        <f t="shared" si="21"/>
        <v>#DIV/0!</v>
      </c>
      <c r="M125" s="33"/>
      <c r="N125" s="33"/>
      <c r="O125" s="33"/>
      <c r="P125" s="33"/>
    </row>
    <row r="126" spans="1:16" ht="12.75">
      <c r="A126" s="33"/>
      <c r="B126" s="33"/>
      <c r="C126" s="33"/>
      <c r="D126" s="33"/>
      <c r="E126" s="33"/>
      <c r="F126" s="33"/>
      <c r="G126" s="33"/>
      <c r="H126" s="33">
        <f t="shared" si="22"/>
        <v>0</v>
      </c>
      <c r="I126" s="33" t="e">
        <f t="shared" si="18"/>
        <v>#DIV/0!</v>
      </c>
      <c r="J126" s="33" t="e">
        <f t="shared" si="19"/>
        <v>#DIV/0!</v>
      </c>
      <c r="K126" s="33" t="e">
        <f t="shared" si="20"/>
        <v>#DIV/0!</v>
      </c>
      <c r="L126" s="33" t="e">
        <f t="shared" si="21"/>
        <v>#DIV/0!</v>
      </c>
      <c r="M126" s="33"/>
      <c r="N126" s="33"/>
      <c r="O126" s="33"/>
      <c r="P126" s="33"/>
    </row>
    <row r="127" spans="1:16" ht="12.75">
      <c r="A127" s="33"/>
      <c r="B127" s="33"/>
      <c r="C127" s="33"/>
      <c r="D127" s="33"/>
      <c r="E127" s="33"/>
      <c r="F127" s="33"/>
      <c r="G127" s="33"/>
      <c r="H127" s="33">
        <f t="shared" si="22"/>
        <v>0</v>
      </c>
      <c r="I127" s="33" t="e">
        <f t="shared" si="18"/>
        <v>#DIV/0!</v>
      </c>
      <c r="J127" s="33" t="e">
        <f t="shared" si="19"/>
        <v>#DIV/0!</v>
      </c>
      <c r="K127" s="33" t="e">
        <f t="shared" si="20"/>
        <v>#DIV/0!</v>
      </c>
      <c r="L127" s="33" t="e">
        <f t="shared" si="21"/>
        <v>#DIV/0!</v>
      </c>
      <c r="M127" s="33"/>
      <c r="N127" s="33"/>
      <c r="O127" s="33"/>
      <c r="P127" s="33"/>
    </row>
    <row r="128" spans="1:16" ht="12.75">
      <c r="A128" s="33"/>
      <c r="B128" s="33"/>
      <c r="C128" s="33"/>
      <c r="D128" s="33"/>
      <c r="E128" s="33"/>
      <c r="F128" s="33"/>
      <c r="G128" s="33"/>
      <c r="H128" s="33">
        <f t="shared" si="22"/>
        <v>0</v>
      </c>
      <c r="I128" s="33" t="e">
        <f t="shared" si="18"/>
        <v>#DIV/0!</v>
      </c>
      <c r="J128" s="33" t="e">
        <f t="shared" si="19"/>
        <v>#DIV/0!</v>
      </c>
      <c r="K128" s="33" t="e">
        <f t="shared" si="20"/>
        <v>#DIV/0!</v>
      </c>
      <c r="L128" s="33" t="e">
        <f t="shared" si="21"/>
        <v>#DIV/0!</v>
      </c>
      <c r="M128" s="33"/>
      <c r="N128" s="33"/>
      <c r="O128" s="33"/>
      <c r="P128" s="33"/>
    </row>
    <row r="129" spans="1:16" ht="12.75">
      <c r="A129" s="33"/>
      <c r="B129" s="33"/>
      <c r="C129" s="33"/>
      <c r="D129" s="33"/>
      <c r="E129" s="33"/>
      <c r="F129" s="33"/>
      <c r="G129" s="33"/>
      <c r="H129" s="33">
        <f t="shared" si="22"/>
        <v>0</v>
      </c>
      <c r="I129" s="33" t="e">
        <f t="shared" si="18"/>
        <v>#DIV/0!</v>
      </c>
      <c r="J129" s="33" t="e">
        <f t="shared" si="19"/>
        <v>#DIV/0!</v>
      </c>
      <c r="K129" s="33" t="e">
        <f t="shared" si="20"/>
        <v>#DIV/0!</v>
      </c>
      <c r="L129" s="33" t="e">
        <f t="shared" si="21"/>
        <v>#DIV/0!</v>
      </c>
      <c r="M129" s="33"/>
      <c r="N129" s="33"/>
      <c r="O129" s="33"/>
      <c r="P129" s="33"/>
    </row>
    <row r="130" spans="1:16" ht="12.75">
      <c r="A130" s="33"/>
      <c r="B130" s="33"/>
      <c r="C130" s="33"/>
      <c r="D130" s="33"/>
      <c r="E130" s="33"/>
      <c r="F130" s="33"/>
      <c r="G130" s="33"/>
      <c r="H130" s="33">
        <f t="shared" si="22"/>
        <v>0</v>
      </c>
      <c r="I130" s="33" t="e">
        <f t="shared" si="18"/>
        <v>#DIV/0!</v>
      </c>
      <c r="J130" s="33" t="e">
        <f t="shared" si="19"/>
        <v>#DIV/0!</v>
      </c>
      <c r="K130" s="33" t="e">
        <f t="shared" si="20"/>
        <v>#DIV/0!</v>
      </c>
      <c r="L130" s="33" t="e">
        <f t="shared" si="21"/>
        <v>#DIV/0!</v>
      </c>
      <c r="M130" s="33"/>
      <c r="N130" s="33"/>
      <c r="O130" s="33"/>
      <c r="P130" s="33"/>
    </row>
    <row r="131" spans="1:16" ht="12.75">
      <c r="A131" s="33"/>
      <c r="B131" s="33"/>
      <c r="C131" s="33"/>
      <c r="D131" s="33"/>
      <c r="E131" s="33"/>
      <c r="F131" s="33"/>
      <c r="G131" s="33"/>
      <c r="H131" s="33">
        <f t="shared" si="22"/>
        <v>0</v>
      </c>
      <c r="I131" s="33" t="e">
        <f t="shared" si="18"/>
        <v>#DIV/0!</v>
      </c>
      <c r="J131" s="33" t="e">
        <f t="shared" si="19"/>
        <v>#DIV/0!</v>
      </c>
      <c r="K131" s="33" t="e">
        <f t="shared" si="20"/>
        <v>#DIV/0!</v>
      </c>
      <c r="L131" s="33" t="e">
        <f t="shared" si="21"/>
        <v>#DIV/0!</v>
      </c>
      <c r="M131" s="33"/>
      <c r="N131" s="33"/>
      <c r="O131" s="33"/>
      <c r="P131" s="33"/>
    </row>
    <row r="132" spans="1:16" ht="12.75">
      <c r="A132" s="33"/>
      <c r="B132" s="33"/>
      <c r="C132" s="33"/>
      <c r="D132" s="33"/>
      <c r="E132" s="33"/>
      <c r="F132" s="33"/>
      <c r="G132" s="33"/>
      <c r="H132" s="33">
        <f t="shared" si="22"/>
        <v>0</v>
      </c>
      <c r="I132" s="33" t="e">
        <f t="shared" si="18"/>
        <v>#DIV/0!</v>
      </c>
      <c r="J132" s="33" t="e">
        <f t="shared" si="19"/>
        <v>#DIV/0!</v>
      </c>
      <c r="K132" s="33" t="e">
        <f t="shared" si="20"/>
        <v>#DIV/0!</v>
      </c>
      <c r="L132" s="33" t="e">
        <f t="shared" si="21"/>
        <v>#DIV/0!</v>
      </c>
      <c r="M132" s="33"/>
      <c r="N132" s="33"/>
      <c r="O132" s="33"/>
      <c r="P132" s="33"/>
    </row>
    <row r="133" spans="1:16" ht="12.75">
      <c r="A133" s="33"/>
      <c r="B133" s="33"/>
      <c r="C133" s="33"/>
      <c r="D133" s="33"/>
      <c r="E133" s="33"/>
      <c r="F133" s="33"/>
      <c r="G133" s="33"/>
      <c r="H133" s="33">
        <f t="shared" si="22"/>
        <v>0</v>
      </c>
      <c r="I133" s="33" t="e">
        <f t="shared" si="18"/>
        <v>#DIV/0!</v>
      </c>
      <c r="J133" s="33" t="e">
        <f t="shared" si="19"/>
        <v>#DIV/0!</v>
      </c>
      <c r="K133" s="33" t="e">
        <f t="shared" si="20"/>
        <v>#DIV/0!</v>
      </c>
      <c r="L133" s="33" t="e">
        <f t="shared" si="21"/>
        <v>#DIV/0!</v>
      </c>
      <c r="M133" s="33"/>
      <c r="N133" s="33"/>
      <c r="O133" s="33"/>
      <c r="P133" s="33"/>
    </row>
    <row r="134" spans="1:16" ht="12.75">
      <c r="A134" s="33"/>
      <c r="B134" s="33"/>
      <c r="C134" s="33"/>
      <c r="D134" s="33"/>
      <c r="E134" s="33"/>
      <c r="F134" s="33"/>
      <c r="G134" s="33"/>
      <c r="H134" s="33">
        <f t="shared" si="22"/>
        <v>0</v>
      </c>
      <c r="I134" s="33" t="e">
        <f t="shared" si="18"/>
        <v>#DIV/0!</v>
      </c>
      <c r="J134" s="33" t="e">
        <f t="shared" si="19"/>
        <v>#DIV/0!</v>
      </c>
      <c r="K134" s="33" t="e">
        <f t="shared" si="20"/>
        <v>#DIV/0!</v>
      </c>
      <c r="L134" s="33" t="e">
        <f t="shared" si="21"/>
        <v>#DIV/0!</v>
      </c>
      <c r="M134" s="33"/>
      <c r="N134" s="33"/>
      <c r="O134" s="33"/>
      <c r="P134" s="33"/>
    </row>
    <row r="135" spans="1:16" ht="12.75">
      <c r="A135" s="33"/>
      <c r="B135" s="33"/>
      <c r="C135" s="33"/>
      <c r="D135" s="33"/>
      <c r="E135" s="33"/>
      <c r="F135" s="33"/>
      <c r="G135" s="33"/>
      <c r="H135" s="33">
        <f t="shared" si="22"/>
        <v>0</v>
      </c>
      <c r="I135" s="33" t="e">
        <f t="shared" si="18"/>
        <v>#DIV/0!</v>
      </c>
      <c r="J135" s="33" t="e">
        <f t="shared" si="19"/>
        <v>#DIV/0!</v>
      </c>
      <c r="K135" s="33" t="e">
        <f t="shared" si="20"/>
        <v>#DIV/0!</v>
      </c>
      <c r="L135" s="33" t="e">
        <f t="shared" si="21"/>
        <v>#DIV/0!</v>
      </c>
      <c r="M135" s="33"/>
      <c r="N135" s="33"/>
      <c r="O135" s="33"/>
      <c r="P135" s="33"/>
    </row>
    <row r="136" spans="1:16" ht="12.75">
      <c r="A136" s="33"/>
      <c r="B136" s="33"/>
      <c r="C136" s="33"/>
      <c r="D136" s="33"/>
      <c r="E136" s="33"/>
      <c r="F136" s="33"/>
      <c r="G136" s="33"/>
      <c r="H136" s="33">
        <f t="shared" si="22"/>
        <v>0</v>
      </c>
      <c r="I136" s="33" t="e">
        <f t="shared" si="18"/>
        <v>#DIV/0!</v>
      </c>
      <c r="J136" s="33" t="e">
        <f t="shared" si="19"/>
        <v>#DIV/0!</v>
      </c>
      <c r="K136" s="33" t="e">
        <f t="shared" si="20"/>
        <v>#DIV/0!</v>
      </c>
      <c r="L136" s="33" t="e">
        <f t="shared" si="21"/>
        <v>#DIV/0!</v>
      </c>
      <c r="M136" s="33"/>
      <c r="N136" s="33"/>
      <c r="O136" s="33"/>
      <c r="P136" s="33"/>
    </row>
    <row r="137" spans="1:16" ht="12.75">
      <c r="A137" s="33"/>
      <c r="B137" s="33"/>
      <c r="C137" s="33"/>
      <c r="D137" s="33"/>
      <c r="E137" s="33"/>
      <c r="F137" s="33"/>
      <c r="G137" s="33"/>
      <c r="H137" s="33">
        <f t="shared" si="22"/>
        <v>0</v>
      </c>
      <c r="I137" s="33" t="e">
        <f t="shared" si="18"/>
        <v>#DIV/0!</v>
      </c>
      <c r="J137" s="33" t="e">
        <f t="shared" si="19"/>
        <v>#DIV/0!</v>
      </c>
      <c r="K137" s="33" t="e">
        <f t="shared" si="20"/>
        <v>#DIV/0!</v>
      </c>
      <c r="L137" s="33" t="e">
        <f t="shared" si="21"/>
        <v>#DIV/0!</v>
      </c>
      <c r="M137" s="33"/>
      <c r="N137" s="33"/>
      <c r="O137" s="33"/>
      <c r="P137" s="33"/>
    </row>
    <row r="138" spans="1:16" ht="12.75">
      <c r="A138" s="33"/>
      <c r="B138" s="33"/>
      <c r="C138" s="33"/>
      <c r="D138" s="33"/>
      <c r="E138" s="33"/>
      <c r="F138" s="33"/>
      <c r="G138" s="33"/>
      <c r="H138" s="33">
        <f t="shared" si="22"/>
        <v>0</v>
      </c>
      <c r="I138" s="33" t="e">
        <f t="shared" si="18"/>
        <v>#DIV/0!</v>
      </c>
      <c r="J138" s="33" t="e">
        <f t="shared" si="19"/>
        <v>#DIV/0!</v>
      </c>
      <c r="K138" s="33" t="e">
        <f t="shared" si="20"/>
        <v>#DIV/0!</v>
      </c>
      <c r="L138" s="33" t="e">
        <f t="shared" si="21"/>
        <v>#DIV/0!</v>
      </c>
      <c r="M138" s="33"/>
      <c r="N138" s="33"/>
      <c r="O138" s="33"/>
      <c r="P138" s="33"/>
    </row>
    <row r="139" spans="1:16" ht="12.75">
      <c r="A139" s="33"/>
      <c r="B139" s="33"/>
      <c r="C139" s="33"/>
      <c r="D139" s="33"/>
      <c r="E139" s="33"/>
      <c r="F139" s="33"/>
      <c r="G139" s="33"/>
      <c r="H139" s="33">
        <f t="shared" si="22"/>
        <v>0</v>
      </c>
      <c r="I139" s="33" t="e">
        <f t="shared" si="18"/>
        <v>#DIV/0!</v>
      </c>
      <c r="J139" s="33" t="e">
        <f t="shared" si="19"/>
        <v>#DIV/0!</v>
      </c>
      <c r="K139" s="33" t="e">
        <f t="shared" si="20"/>
        <v>#DIV/0!</v>
      </c>
      <c r="L139" s="33" t="e">
        <f t="shared" si="21"/>
        <v>#DIV/0!</v>
      </c>
      <c r="M139" s="33"/>
      <c r="N139" s="33"/>
      <c r="O139" s="33"/>
      <c r="P139" s="33"/>
    </row>
    <row r="140" spans="1:16" ht="12.75">
      <c r="A140" s="33"/>
      <c r="B140" s="33"/>
      <c r="C140" s="33"/>
      <c r="D140" s="33"/>
      <c r="E140" s="33"/>
      <c r="F140" s="33"/>
      <c r="G140" s="33"/>
      <c r="H140" s="33">
        <f t="shared" si="22"/>
        <v>0</v>
      </c>
      <c r="I140" s="33" t="e">
        <f t="shared" si="18"/>
        <v>#DIV/0!</v>
      </c>
      <c r="J140" s="33" t="e">
        <f t="shared" si="19"/>
        <v>#DIV/0!</v>
      </c>
      <c r="K140" s="33" t="e">
        <f t="shared" si="20"/>
        <v>#DIV/0!</v>
      </c>
      <c r="L140" s="33" t="e">
        <f t="shared" si="21"/>
        <v>#DIV/0!</v>
      </c>
      <c r="M140" s="33"/>
      <c r="N140" s="33"/>
      <c r="O140" s="33"/>
      <c r="P140" s="33"/>
    </row>
    <row r="141" spans="1:16" ht="12.75">
      <c r="A141" s="33"/>
      <c r="B141" s="33"/>
      <c r="C141" s="33"/>
      <c r="D141" s="33"/>
      <c r="E141" s="33"/>
      <c r="F141" s="33"/>
      <c r="G141" s="33"/>
      <c r="H141" s="33">
        <f t="shared" si="22"/>
        <v>0</v>
      </c>
      <c r="I141" s="33" t="e">
        <f t="shared" si="18"/>
        <v>#DIV/0!</v>
      </c>
      <c r="J141" s="33" t="e">
        <f t="shared" si="19"/>
        <v>#DIV/0!</v>
      </c>
      <c r="K141" s="33" t="e">
        <f t="shared" si="20"/>
        <v>#DIV/0!</v>
      </c>
      <c r="L141" s="33" t="e">
        <f t="shared" si="21"/>
        <v>#DIV/0!</v>
      </c>
      <c r="M141" s="33"/>
      <c r="N141" s="33"/>
      <c r="O141" s="33"/>
      <c r="P141" s="33"/>
    </row>
    <row r="142" spans="1:16" ht="12.75">
      <c r="A142" s="33"/>
      <c r="B142" s="33"/>
      <c r="C142" s="33"/>
      <c r="D142" s="33"/>
      <c r="E142" s="33"/>
      <c r="F142" s="33"/>
      <c r="G142" s="33"/>
      <c r="H142" s="33">
        <f t="shared" si="22"/>
        <v>0</v>
      </c>
      <c r="I142" s="33" t="e">
        <f t="shared" si="18"/>
        <v>#DIV/0!</v>
      </c>
      <c r="J142" s="33" t="e">
        <f t="shared" si="19"/>
        <v>#DIV/0!</v>
      </c>
      <c r="K142" s="33" t="e">
        <f t="shared" si="20"/>
        <v>#DIV/0!</v>
      </c>
      <c r="L142" s="33" t="e">
        <f t="shared" si="21"/>
        <v>#DIV/0!</v>
      </c>
      <c r="M142" s="33"/>
      <c r="N142" s="33"/>
      <c r="O142" s="33"/>
      <c r="P142" s="33"/>
    </row>
  </sheetData>
  <sheetProtection/>
  <mergeCells count="13">
    <mergeCell ref="E108:F108"/>
    <mergeCell ref="E111:F111"/>
    <mergeCell ref="C18:E18"/>
    <mergeCell ref="A17:B17"/>
    <mergeCell ref="C17:E17"/>
    <mergeCell ref="D116:E116"/>
    <mergeCell ref="F116:G116"/>
    <mergeCell ref="H1:J1"/>
    <mergeCell ref="B4:C4"/>
    <mergeCell ref="B6:C6"/>
    <mergeCell ref="B8:C8"/>
    <mergeCell ref="D11:E11"/>
    <mergeCell ref="A19:E19"/>
  </mergeCells>
  <printOptions/>
  <pageMargins left="0.75" right="0.75" top="1" bottom="1" header="0.5" footer="0.5"/>
  <pageSetup orientation="portrait" paperSize="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W85"/>
  <sheetViews>
    <sheetView zoomScale="150" zoomScaleNormal="150" zoomScalePageLayoutView="0" workbookViewId="0" topLeftCell="A1">
      <selection activeCell="B27" sqref="B27"/>
    </sheetView>
  </sheetViews>
  <sheetFormatPr defaultColWidth="8.8515625" defaultRowHeight="12.75"/>
  <cols>
    <col min="1" max="1" width="12.8515625" style="0" customWidth="1"/>
    <col min="2" max="2" width="12.421875" style="0" bestFit="1" customWidth="1"/>
    <col min="3" max="5" width="13.140625" style="0" bestFit="1" customWidth="1"/>
    <col min="6" max="6" width="16.140625" style="0" customWidth="1"/>
    <col min="7" max="7" width="12.421875" style="0" bestFit="1" customWidth="1"/>
    <col min="8" max="9" width="8.8515625" style="0" customWidth="1"/>
    <col min="10" max="10" width="11.28125" style="0" customWidth="1"/>
  </cols>
  <sheetData>
    <row r="1" spans="1:22" ht="12.7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 t="s">
        <v>57</v>
      </c>
      <c r="Q1" s="33"/>
      <c r="R1" s="33"/>
      <c r="S1" s="33"/>
      <c r="T1" s="33"/>
      <c r="U1" s="33"/>
      <c r="V1" s="33"/>
    </row>
    <row r="2" spans="1:17" ht="12.75">
      <c r="A2" s="34" t="s">
        <v>7</v>
      </c>
      <c r="B2" s="34" t="s">
        <v>8</v>
      </c>
      <c r="C2" s="34" t="s">
        <v>9</v>
      </c>
      <c r="D2" s="34" t="s">
        <v>10</v>
      </c>
      <c r="E2" s="34" t="s">
        <v>11</v>
      </c>
      <c r="F2" s="35" t="s">
        <v>18</v>
      </c>
      <c r="G2" s="34" t="s">
        <v>37</v>
      </c>
      <c r="H2" s="34" t="s">
        <v>17</v>
      </c>
      <c r="I2" s="34" t="s">
        <v>21</v>
      </c>
      <c r="J2" s="34" t="s">
        <v>43</v>
      </c>
      <c r="K2" s="34" t="s">
        <v>58</v>
      </c>
      <c r="L2" s="33"/>
      <c r="M2" s="33"/>
      <c r="N2" s="33"/>
      <c r="O2" s="33"/>
      <c r="P2" s="33"/>
      <c r="Q2" s="33"/>
    </row>
    <row r="3" spans="1:17" ht="12.75">
      <c r="A3" s="36">
        <f aca="true" t="shared" si="0" ref="A3:A8">level1</f>
        <v>2.5E-07</v>
      </c>
      <c r="B3" s="38">
        <f>y_1</f>
        <v>15045.67</v>
      </c>
      <c r="C3" s="39">
        <f aca="true" t="shared" si="1" ref="C3:C24">A3*B3</f>
        <v>0.0037614174999999997</v>
      </c>
      <c r="D3" s="36">
        <f aca="true" t="shared" si="2" ref="D3:D24">A3-xmean</f>
        <v>-2.3409090909090904E-06</v>
      </c>
      <c r="E3" s="37">
        <f aca="true" t="shared" si="3" ref="E3:E24">B3-ymean</f>
        <v>-149031.79181818184</v>
      </c>
      <c r="F3" s="36">
        <f aca="true" t="shared" si="4" ref="F3:F24">A3*slope+intercept</f>
        <v>14622.719711298481</v>
      </c>
      <c r="G3" s="36">
        <f>F3-ymean</f>
        <v>-149454.74210688338</v>
      </c>
      <c r="H3" s="36">
        <f aca="true" t="shared" si="5" ref="H3:H24">B3-F3</f>
        <v>422.95028870151873</v>
      </c>
      <c r="I3" s="37">
        <f>H3^2</f>
        <v>178886.94671269803</v>
      </c>
      <c r="J3" s="40">
        <f>m_1</f>
        <v>5</v>
      </c>
      <c r="K3" s="40">
        <f aca="true" t="shared" si="6" ref="K3:K24">H3/A3</f>
        <v>1691801154.806075</v>
      </c>
      <c r="L3" s="33"/>
      <c r="M3" s="33"/>
      <c r="N3" s="33"/>
      <c r="O3" s="33"/>
      <c r="P3" s="33"/>
      <c r="Q3" s="33"/>
    </row>
    <row r="4" spans="1:17" ht="12.75">
      <c r="A4" s="36">
        <f t="shared" si="0"/>
        <v>2.5E-07</v>
      </c>
      <c r="B4" s="38">
        <f>y_2</f>
        <v>15436.67</v>
      </c>
      <c r="C4" s="39">
        <f t="shared" si="1"/>
        <v>0.0038591675</v>
      </c>
      <c r="D4" s="36">
        <f t="shared" si="2"/>
        <v>-2.3409090909090904E-06</v>
      </c>
      <c r="E4" s="37">
        <f t="shared" si="3"/>
        <v>-148640.79181818184</v>
      </c>
      <c r="F4" s="36">
        <f t="shared" si="4"/>
        <v>14622.719711298481</v>
      </c>
      <c r="G4" s="36">
        <f aca="true" t="shared" si="7" ref="G4:G24">F4-ymean</f>
        <v>-149454.74210688338</v>
      </c>
      <c r="H4" s="36">
        <f t="shared" si="5"/>
        <v>813.9502887015187</v>
      </c>
      <c r="I4" s="37">
        <f aca="true" t="shared" si="8" ref="I4:I24">H4^2</f>
        <v>662515.0724772856</v>
      </c>
      <c r="J4" s="39">
        <f>m_2</f>
        <v>6</v>
      </c>
      <c r="K4" s="39">
        <f t="shared" si="6"/>
        <v>3255801154.806075</v>
      </c>
      <c r="L4" s="33"/>
      <c r="M4" s="33"/>
      <c r="N4" s="33"/>
      <c r="O4" s="33"/>
      <c r="P4" s="33"/>
      <c r="Q4" s="33"/>
    </row>
    <row r="5" spans="1:17" ht="12.75">
      <c r="A5" s="36">
        <f t="shared" si="0"/>
        <v>2.5E-07</v>
      </c>
      <c r="B5" s="38">
        <f>y_3</f>
        <v>14867.67</v>
      </c>
      <c r="C5" s="39">
        <f t="shared" si="1"/>
        <v>0.0037169175</v>
      </c>
      <c r="D5" s="36">
        <f t="shared" si="2"/>
        <v>-2.3409090909090904E-06</v>
      </c>
      <c r="E5" s="37">
        <f t="shared" si="3"/>
        <v>-149209.79181818184</v>
      </c>
      <c r="F5" s="36">
        <f t="shared" si="4"/>
        <v>14622.719711298481</v>
      </c>
      <c r="G5" s="36">
        <f t="shared" si="7"/>
        <v>-149454.74210688338</v>
      </c>
      <c r="H5" s="36">
        <f t="shared" si="5"/>
        <v>244.95028870151873</v>
      </c>
      <c r="I5" s="37">
        <f t="shared" si="8"/>
        <v>60000.64393495738</v>
      </c>
      <c r="J5" s="39">
        <f>m_3</f>
        <v>9</v>
      </c>
      <c r="K5" s="39">
        <f t="shared" si="6"/>
        <v>979801154.806075</v>
      </c>
      <c r="L5" s="33"/>
      <c r="M5" s="33"/>
      <c r="N5" s="33"/>
      <c r="O5" s="33"/>
      <c r="P5" s="33"/>
      <c r="Q5" s="33"/>
    </row>
    <row r="6" spans="1:17" ht="12.75">
      <c r="A6" s="36">
        <f t="shared" si="0"/>
        <v>2.5E-07</v>
      </c>
      <c r="B6" s="38">
        <f>y_4</f>
        <v>15524.67</v>
      </c>
      <c r="C6" s="39">
        <f t="shared" si="1"/>
        <v>0.0038811674999999998</v>
      </c>
      <c r="D6" s="36">
        <f t="shared" si="2"/>
        <v>-2.3409090909090904E-06</v>
      </c>
      <c r="E6" s="37">
        <f t="shared" si="3"/>
        <v>-148552.79181818184</v>
      </c>
      <c r="F6" s="36">
        <f t="shared" si="4"/>
        <v>14622.719711298481</v>
      </c>
      <c r="G6" s="36">
        <f t="shared" si="7"/>
        <v>-149454.74210688338</v>
      </c>
      <c r="H6" s="36">
        <f t="shared" si="5"/>
        <v>901.9502887015187</v>
      </c>
      <c r="I6" s="37">
        <f t="shared" si="8"/>
        <v>813514.3232887529</v>
      </c>
      <c r="J6" s="39">
        <f>m_4</f>
        <v>13</v>
      </c>
      <c r="K6" s="39">
        <f t="shared" si="6"/>
        <v>3607801154.806075</v>
      </c>
      <c r="L6" s="33"/>
      <c r="M6" s="33"/>
      <c r="N6" s="33"/>
      <c r="O6" s="33"/>
      <c r="P6" s="33"/>
      <c r="Q6" s="33"/>
    </row>
    <row r="7" spans="1:17" ht="12.75">
      <c r="A7" s="36">
        <f t="shared" si="0"/>
        <v>2.5E-07</v>
      </c>
      <c r="B7" s="38">
        <f>y_5</f>
        <v>15143.67</v>
      </c>
      <c r="C7" s="39">
        <f t="shared" si="1"/>
        <v>0.0037859175</v>
      </c>
      <c r="D7" s="36">
        <f t="shared" si="2"/>
        <v>-2.3409090909090904E-06</v>
      </c>
      <c r="E7" s="37">
        <f t="shared" si="3"/>
        <v>-148933.79181818184</v>
      </c>
      <c r="F7" s="36">
        <f t="shared" si="4"/>
        <v>14622.719711298481</v>
      </c>
      <c r="G7" s="36">
        <f t="shared" si="7"/>
        <v>-149454.74210688338</v>
      </c>
      <c r="H7" s="36">
        <f t="shared" si="5"/>
        <v>520.9502887015187</v>
      </c>
      <c r="I7" s="37">
        <f t="shared" si="8"/>
        <v>271389.20329819573</v>
      </c>
      <c r="J7" s="39">
        <f>m_5</f>
        <v>17</v>
      </c>
      <c r="K7" s="39">
        <f t="shared" si="6"/>
        <v>2083801154.806075</v>
      </c>
      <c r="L7" s="33"/>
      <c r="M7" s="33"/>
      <c r="N7" s="33"/>
      <c r="O7" s="33"/>
      <c r="P7" s="33"/>
      <c r="Q7" s="33"/>
    </row>
    <row r="8" spans="1:17" ht="12.75">
      <c r="A8" s="36">
        <f t="shared" si="0"/>
        <v>2.5E-07</v>
      </c>
      <c r="B8" s="38">
        <f>y_6</f>
        <v>14858.67</v>
      </c>
      <c r="C8" s="39">
        <f t="shared" si="1"/>
        <v>0.0037146675</v>
      </c>
      <c r="D8" s="36">
        <f t="shared" si="2"/>
        <v>-2.3409090909090904E-06</v>
      </c>
      <c r="E8" s="37">
        <f t="shared" si="3"/>
        <v>-149218.79181818184</v>
      </c>
      <c r="F8" s="36">
        <f t="shared" si="4"/>
        <v>14622.719711298481</v>
      </c>
      <c r="G8" s="36">
        <f t="shared" si="7"/>
        <v>-149454.74210688338</v>
      </c>
      <c r="H8" s="36">
        <f t="shared" si="5"/>
        <v>235.95028870151873</v>
      </c>
      <c r="I8" s="37">
        <f t="shared" si="8"/>
        <v>55672.53873833004</v>
      </c>
      <c r="J8" s="39">
        <f>m_6</f>
        <v>18</v>
      </c>
      <c r="K8" s="39">
        <f t="shared" si="6"/>
        <v>943801154.806075</v>
      </c>
      <c r="L8" s="33"/>
      <c r="M8" s="33"/>
      <c r="N8" s="33"/>
      <c r="O8" s="33"/>
      <c r="P8" s="33"/>
      <c r="Q8" s="33"/>
    </row>
    <row r="9" spans="1:17" ht="12.75">
      <c r="A9" s="36">
        <f>level2</f>
        <v>1.5E-06</v>
      </c>
      <c r="B9" s="38">
        <f>y_7</f>
        <v>94561.67</v>
      </c>
      <c r="C9" s="39">
        <f t="shared" si="1"/>
        <v>0.141842505</v>
      </c>
      <c r="D9" s="36">
        <f t="shared" si="2"/>
        <v>-1.0909090909090906E-06</v>
      </c>
      <c r="E9" s="37">
        <f t="shared" si="3"/>
        <v>-69515.79181818185</v>
      </c>
      <c r="F9" s="36">
        <f t="shared" si="4"/>
        <v>94428.64996254689</v>
      </c>
      <c r="G9" s="36">
        <f t="shared" si="7"/>
        <v>-69648.81185563497</v>
      </c>
      <c r="H9" s="36">
        <f t="shared" si="5"/>
        <v>133.0200374531123</v>
      </c>
      <c r="I9" s="37">
        <f t="shared" si="8"/>
        <v>17694.330364027403</v>
      </c>
      <c r="J9" s="39">
        <f>m_7</f>
        <v>3</v>
      </c>
      <c r="K9" s="39">
        <f t="shared" si="6"/>
        <v>88680024.96874154</v>
      </c>
      <c r="L9" s="33"/>
      <c r="M9" s="33"/>
      <c r="N9" s="33"/>
      <c r="O9" s="33"/>
      <c r="P9" s="33"/>
      <c r="Q9" s="33"/>
    </row>
    <row r="10" spans="1:17" ht="12.75">
      <c r="A10" s="36">
        <f>level2</f>
        <v>1.5E-06</v>
      </c>
      <c r="B10" s="38">
        <f>y_8</f>
        <v>96231.67</v>
      </c>
      <c r="C10" s="39">
        <f t="shared" si="1"/>
        <v>0.14434750500000001</v>
      </c>
      <c r="D10" s="36">
        <f t="shared" si="2"/>
        <v>-1.0909090909090906E-06</v>
      </c>
      <c r="E10" s="37">
        <f t="shared" si="3"/>
        <v>-67845.79181818185</v>
      </c>
      <c r="F10" s="36">
        <f t="shared" si="4"/>
        <v>94428.64996254689</v>
      </c>
      <c r="G10" s="36">
        <f t="shared" si="7"/>
        <v>-69648.81185563497</v>
      </c>
      <c r="H10" s="36">
        <f t="shared" si="5"/>
        <v>1803.0200374531123</v>
      </c>
      <c r="I10" s="37">
        <f t="shared" si="8"/>
        <v>3250881.2554574227</v>
      </c>
      <c r="J10" s="39">
        <f>m_8</f>
        <v>22</v>
      </c>
      <c r="K10" s="39">
        <f t="shared" si="6"/>
        <v>1202013358.302075</v>
      </c>
      <c r="L10" s="33"/>
      <c r="M10" s="33"/>
      <c r="N10" s="33"/>
      <c r="O10" s="33"/>
      <c r="P10" s="33"/>
      <c r="Q10" s="33"/>
    </row>
    <row r="11" spans="1:17" ht="12.75">
      <c r="A11" s="36">
        <f aca="true" t="shared" si="9" ref="A11:A16">level3</f>
        <v>2.5E-06</v>
      </c>
      <c r="B11" s="38">
        <f>y_9</f>
        <v>154831.7</v>
      </c>
      <c r="C11" s="39">
        <f t="shared" si="1"/>
        <v>0.38707925000000004</v>
      </c>
      <c r="D11" s="36">
        <f t="shared" si="2"/>
        <v>-9.090909090909039E-08</v>
      </c>
      <c r="E11" s="37">
        <f t="shared" si="3"/>
        <v>-9245.76181818184</v>
      </c>
      <c r="F11" s="36">
        <f t="shared" si="4"/>
        <v>158273.39416354563</v>
      </c>
      <c r="G11" s="36">
        <f t="shared" si="7"/>
        <v>-5804.067654636223</v>
      </c>
      <c r="H11" s="36">
        <f t="shared" si="5"/>
        <v>-3441.694163545617</v>
      </c>
      <c r="I11" s="37">
        <f t="shared" si="8"/>
        <v>11845258.715383964</v>
      </c>
      <c r="J11" s="39">
        <f>m_9</f>
        <v>7</v>
      </c>
      <c r="K11" s="39">
        <f t="shared" si="6"/>
        <v>-1376677665.4182467</v>
      </c>
      <c r="L11" s="33"/>
      <c r="M11" s="33"/>
      <c r="N11" s="33"/>
      <c r="O11" s="33"/>
      <c r="P11" s="33"/>
      <c r="Q11" s="33"/>
    </row>
    <row r="12" spans="1:17" ht="12.75">
      <c r="A12" s="36">
        <f t="shared" si="9"/>
        <v>2.5E-06</v>
      </c>
      <c r="B12" s="38">
        <f>y_10</f>
        <v>158151.7</v>
      </c>
      <c r="C12" s="39">
        <f t="shared" si="1"/>
        <v>0.39537925000000007</v>
      </c>
      <c r="D12" s="36">
        <f t="shared" si="2"/>
        <v>-9.090909090909039E-08</v>
      </c>
      <c r="E12" s="37">
        <f t="shared" si="3"/>
        <v>-5925.76181818184</v>
      </c>
      <c r="F12" s="36">
        <f t="shared" si="4"/>
        <v>158273.39416354563</v>
      </c>
      <c r="G12" s="36">
        <f t="shared" si="7"/>
        <v>-5804.067654636223</v>
      </c>
      <c r="H12" s="36">
        <f t="shared" si="5"/>
        <v>-121.6941635456169</v>
      </c>
      <c r="I12" s="37">
        <f t="shared" si="8"/>
        <v>14809.469441067355</v>
      </c>
      <c r="J12" s="39">
        <f>m_10</f>
        <v>12</v>
      </c>
      <c r="K12" s="39">
        <f t="shared" si="6"/>
        <v>-48677665.41824675</v>
      </c>
      <c r="L12" s="33"/>
      <c r="M12" s="33"/>
      <c r="N12" s="33"/>
      <c r="O12" s="33"/>
      <c r="P12" s="33"/>
      <c r="Q12" s="33"/>
    </row>
    <row r="13" spans="1:17" ht="12.75">
      <c r="A13" s="36">
        <f t="shared" si="9"/>
        <v>2.5E-06</v>
      </c>
      <c r="B13" s="38">
        <f>y_11</f>
        <v>150711.7</v>
      </c>
      <c r="C13" s="39">
        <f t="shared" si="1"/>
        <v>0.37677925000000007</v>
      </c>
      <c r="D13" s="36">
        <f t="shared" si="2"/>
        <v>-9.090909090909039E-08</v>
      </c>
      <c r="E13" s="37">
        <f t="shared" si="3"/>
        <v>-13365.76181818184</v>
      </c>
      <c r="F13" s="36">
        <f t="shared" si="4"/>
        <v>158273.39416354563</v>
      </c>
      <c r="G13" s="36">
        <f t="shared" si="7"/>
        <v>-5804.067654636223</v>
      </c>
      <c r="H13" s="36">
        <f t="shared" si="5"/>
        <v>-7561.694163545617</v>
      </c>
      <c r="I13" s="37">
        <f t="shared" si="8"/>
        <v>57179218.62299985</v>
      </c>
      <c r="J13" s="39">
        <f>m_11</f>
        <v>14</v>
      </c>
      <c r="K13" s="39">
        <f t="shared" si="6"/>
        <v>-3024677665.4182467</v>
      </c>
      <c r="L13" s="33"/>
      <c r="M13" s="33"/>
      <c r="N13" s="33"/>
      <c r="O13" s="33"/>
      <c r="P13" s="33"/>
      <c r="Q13" s="33"/>
    </row>
    <row r="14" spans="1:17" ht="12.75">
      <c r="A14" s="36">
        <f t="shared" si="9"/>
        <v>2.5E-06</v>
      </c>
      <c r="B14" s="38">
        <f>y_12</f>
        <v>148101.7</v>
      </c>
      <c r="C14" s="39">
        <f t="shared" si="1"/>
        <v>0.37025425000000006</v>
      </c>
      <c r="D14" s="36">
        <f t="shared" si="2"/>
        <v>-9.090909090909039E-08</v>
      </c>
      <c r="E14" s="37">
        <f t="shared" si="3"/>
        <v>-15975.76181818184</v>
      </c>
      <c r="F14" s="36">
        <f t="shared" si="4"/>
        <v>158273.39416354563</v>
      </c>
      <c r="G14" s="36">
        <f t="shared" si="7"/>
        <v>-5804.067654636223</v>
      </c>
      <c r="H14" s="36">
        <f t="shared" si="5"/>
        <v>-10171.694163545617</v>
      </c>
      <c r="I14" s="37">
        <f t="shared" si="8"/>
        <v>103463362.15670797</v>
      </c>
      <c r="J14" s="39">
        <f>m_12</f>
        <v>15</v>
      </c>
      <c r="K14" s="39">
        <f t="shared" si="6"/>
        <v>-4068677665.4182463</v>
      </c>
      <c r="L14" s="33"/>
      <c r="M14" s="33"/>
      <c r="N14" s="33"/>
      <c r="O14" s="33"/>
      <c r="P14" s="33"/>
      <c r="Q14" s="33"/>
    </row>
    <row r="15" spans="1:17" ht="12.75">
      <c r="A15" s="36">
        <f t="shared" si="9"/>
        <v>2.5E-06</v>
      </c>
      <c r="B15" s="38">
        <f>y_13</f>
        <v>155031.7</v>
      </c>
      <c r="C15" s="39">
        <f t="shared" si="1"/>
        <v>0.38757925000000004</v>
      </c>
      <c r="D15" s="36">
        <f t="shared" si="2"/>
        <v>-9.090909090909039E-08</v>
      </c>
      <c r="E15" s="37">
        <f t="shared" si="3"/>
        <v>-9045.76181818184</v>
      </c>
      <c r="F15" s="36">
        <f t="shared" si="4"/>
        <v>158273.39416354563</v>
      </c>
      <c r="G15" s="36">
        <f t="shared" si="7"/>
        <v>-5804.067654636223</v>
      </c>
      <c r="H15" s="36">
        <f t="shared" si="5"/>
        <v>-3241.694163545617</v>
      </c>
      <c r="I15" s="37">
        <f t="shared" si="8"/>
        <v>10508581.049965717</v>
      </c>
      <c r="J15" s="39">
        <f>m_13</f>
        <v>16</v>
      </c>
      <c r="K15" s="39">
        <f t="shared" si="6"/>
        <v>-1296677665.4182467</v>
      </c>
      <c r="L15" s="33"/>
      <c r="M15" s="33"/>
      <c r="N15" s="33"/>
      <c r="O15" s="33"/>
      <c r="P15" s="33"/>
      <c r="Q15" s="33"/>
    </row>
    <row r="16" spans="1:17" ht="12.75">
      <c r="A16" s="36">
        <f t="shared" si="9"/>
        <v>2.5E-06</v>
      </c>
      <c r="B16" s="38">
        <f>y_14</f>
        <v>179401.7</v>
      </c>
      <c r="C16" s="39">
        <f t="shared" si="1"/>
        <v>0.44850425000000005</v>
      </c>
      <c r="D16" s="36">
        <f t="shared" si="2"/>
        <v>-9.090909090909039E-08</v>
      </c>
      <c r="E16" s="37">
        <f t="shared" si="3"/>
        <v>15324.23818181816</v>
      </c>
      <c r="F16" s="36">
        <f t="shared" si="4"/>
        <v>158273.39416354563</v>
      </c>
      <c r="G16" s="36">
        <f t="shared" si="7"/>
        <v>-5804.067654636223</v>
      </c>
      <c r="H16" s="36">
        <f t="shared" si="5"/>
        <v>21128.305836454383</v>
      </c>
      <c r="I16" s="37">
        <f t="shared" si="8"/>
        <v>446405307.51875234</v>
      </c>
      <c r="J16" s="39">
        <f>m_14</f>
        <v>19</v>
      </c>
      <c r="K16" s="39">
        <f t="shared" si="6"/>
        <v>8451322334.581753</v>
      </c>
      <c r="L16" s="33"/>
      <c r="M16" s="33"/>
      <c r="N16" s="33"/>
      <c r="O16" s="33"/>
      <c r="P16" s="33"/>
      <c r="Q16" s="33"/>
    </row>
    <row r="17" spans="1:17" ht="12.75">
      <c r="A17" s="36">
        <f>level4</f>
        <v>3.75E-06</v>
      </c>
      <c r="B17" s="38">
        <f>y_15</f>
        <v>234651.7</v>
      </c>
      <c r="C17" s="39">
        <f t="shared" si="1"/>
        <v>0.879943875</v>
      </c>
      <c r="D17" s="36">
        <f t="shared" si="2"/>
        <v>1.1590909090909095E-06</v>
      </c>
      <c r="E17" s="37">
        <f t="shared" si="3"/>
        <v>70574.23818181816</v>
      </c>
      <c r="F17" s="36">
        <f t="shared" si="4"/>
        <v>238079.32441479404</v>
      </c>
      <c r="G17" s="36">
        <f t="shared" si="7"/>
        <v>74001.86259661219</v>
      </c>
      <c r="H17" s="36">
        <f t="shared" si="5"/>
        <v>-3427.6244147940306</v>
      </c>
      <c r="I17" s="37">
        <f t="shared" si="8"/>
        <v>11748609.12889212</v>
      </c>
      <c r="J17" s="39">
        <f>m_15</f>
        <v>2</v>
      </c>
      <c r="K17" s="39">
        <f t="shared" si="6"/>
        <v>-914033177.2784082</v>
      </c>
      <c r="L17" s="33"/>
      <c r="M17" s="33"/>
      <c r="N17" s="33"/>
      <c r="O17" s="33"/>
      <c r="P17" s="33"/>
      <c r="Q17" s="33"/>
    </row>
    <row r="18" spans="1:17" ht="12.75">
      <c r="A18" s="36">
        <f>level4</f>
        <v>3.75E-06</v>
      </c>
      <c r="B18" s="38">
        <f>y_16</f>
        <v>230971.7</v>
      </c>
      <c r="C18" s="39">
        <f t="shared" si="1"/>
        <v>0.8661438750000001</v>
      </c>
      <c r="D18" s="36">
        <f t="shared" si="2"/>
        <v>1.1590909090909095E-06</v>
      </c>
      <c r="E18" s="37">
        <f t="shared" si="3"/>
        <v>66894.23818181816</v>
      </c>
      <c r="F18" s="36">
        <f t="shared" si="4"/>
        <v>238079.32441479404</v>
      </c>
      <c r="G18" s="36">
        <f t="shared" si="7"/>
        <v>74001.86259661219</v>
      </c>
      <c r="H18" s="36">
        <f t="shared" si="5"/>
        <v>-7107.624414794031</v>
      </c>
      <c r="I18" s="37">
        <f t="shared" si="8"/>
        <v>50518324.82177619</v>
      </c>
      <c r="J18" s="39">
        <f>m_16</f>
        <v>4</v>
      </c>
      <c r="K18" s="39">
        <f t="shared" si="6"/>
        <v>-1895366510.6117415</v>
      </c>
      <c r="L18" s="33"/>
      <c r="M18" s="33"/>
      <c r="N18" s="33"/>
      <c r="O18" s="33"/>
      <c r="P18" s="33"/>
      <c r="Q18" s="33"/>
    </row>
    <row r="19" spans="1:17" ht="12.75">
      <c r="A19" s="36">
        <f aca="true" t="shared" si="10" ref="A19:A24">level5</f>
        <v>5E-06</v>
      </c>
      <c r="B19" s="38">
        <f>y_17</f>
        <v>327371.7</v>
      </c>
      <c r="C19" s="39">
        <f t="shared" si="1"/>
        <v>1.6368585000000002</v>
      </c>
      <c r="D19" s="36">
        <f t="shared" si="2"/>
        <v>2.40909090909091E-06</v>
      </c>
      <c r="E19" s="37">
        <f t="shared" si="3"/>
        <v>163294.23818181816</v>
      </c>
      <c r="F19" s="36">
        <f t="shared" si="4"/>
        <v>317885.25466604246</v>
      </c>
      <c r="G19" s="36">
        <f t="shared" si="7"/>
        <v>153807.7928478606</v>
      </c>
      <c r="H19" s="36">
        <f t="shared" si="5"/>
        <v>9486.445333957556</v>
      </c>
      <c r="I19" s="37">
        <f t="shared" si="8"/>
        <v>89992645.07416508</v>
      </c>
      <c r="J19" s="39">
        <f>m_17</f>
        <v>1</v>
      </c>
      <c r="K19" s="39">
        <f t="shared" si="6"/>
        <v>1897289066.791511</v>
      </c>
      <c r="L19" s="33"/>
      <c r="M19" s="33"/>
      <c r="N19" s="33"/>
      <c r="O19" s="33"/>
      <c r="P19" s="33"/>
      <c r="Q19" s="33"/>
    </row>
    <row r="20" spans="1:17" ht="12.75">
      <c r="A20" s="36">
        <f t="shared" si="10"/>
        <v>5E-06</v>
      </c>
      <c r="B20" s="38">
        <f>y_18</f>
        <v>303621.7</v>
      </c>
      <c r="C20" s="39">
        <f t="shared" si="1"/>
        <v>1.5181085</v>
      </c>
      <c r="D20" s="36">
        <f t="shared" si="2"/>
        <v>2.40909090909091E-06</v>
      </c>
      <c r="E20" s="37">
        <f t="shared" si="3"/>
        <v>139544.23818181816</v>
      </c>
      <c r="F20" s="36">
        <f t="shared" si="4"/>
        <v>317885.25466604246</v>
      </c>
      <c r="G20" s="36">
        <f t="shared" si="7"/>
        <v>153807.7928478606</v>
      </c>
      <c r="H20" s="36">
        <f t="shared" si="5"/>
        <v>-14263.554666042444</v>
      </c>
      <c r="I20" s="37">
        <f t="shared" si="8"/>
        <v>203448991.7111812</v>
      </c>
      <c r="J20" s="39">
        <f>m_18</f>
        <v>8</v>
      </c>
      <c r="K20" s="39">
        <f t="shared" si="6"/>
        <v>-2852710933.2084885</v>
      </c>
      <c r="L20" s="33"/>
      <c r="M20" s="33"/>
      <c r="N20" s="33"/>
      <c r="O20" s="33"/>
      <c r="P20" s="33"/>
      <c r="Q20" s="33"/>
    </row>
    <row r="21" spans="1:17" ht="12.75">
      <c r="A21" s="36">
        <f t="shared" si="10"/>
        <v>5E-06</v>
      </c>
      <c r="B21" s="38">
        <f>y_19</f>
        <v>301951.7</v>
      </c>
      <c r="C21" s="39">
        <f t="shared" si="1"/>
        <v>1.5097585000000002</v>
      </c>
      <c r="D21" s="36">
        <f t="shared" si="2"/>
        <v>2.40909090909091E-06</v>
      </c>
      <c r="E21" s="37">
        <f t="shared" si="3"/>
        <v>137874.23818181816</v>
      </c>
      <c r="F21" s="36">
        <f t="shared" si="4"/>
        <v>317885.25466604246</v>
      </c>
      <c r="G21" s="36">
        <f t="shared" si="7"/>
        <v>153807.7928478606</v>
      </c>
      <c r="H21" s="36">
        <f t="shared" si="5"/>
        <v>-15933.554666042444</v>
      </c>
      <c r="I21" s="37">
        <f t="shared" si="8"/>
        <v>253878164.29576296</v>
      </c>
      <c r="J21" s="39">
        <f>m_19</f>
        <v>10</v>
      </c>
      <c r="K21" s="39">
        <f t="shared" si="6"/>
        <v>-3186710933.2084885</v>
      </c>
      <c r="L21" s="33"/>
      <c r="M21" s="33"/>
      <c r="N21" s="33"/>
      <c r="O21" s="33"/>
      <c r="P21" s="33"/>
      <c r="Q21" s="33"/>
    </row>
    <row r="22" spans="1:17" ht="12.75">
      <c r="A22" s="36">
        <f t="shared" si="10"/>
        <v>5E-06</v>
      </c>
      <c r="B22" s="38">
        <f>y_20</f>
        <v>314321.7</v>
      </c>
      <c r="C22" s="39">
        <f t="shared" si="1"/>
        <v>1.5716085000000002</v>
      </c>
      <c r="D22" s="36">
        <f t="shared" si="2"/>
        <v>2.40909090909091E-06</v>
      </c>
      <c r="E22" s="37">
        <f t="shared" si="3"/>
        <v>150244.23818181816</v>
      </c>
      <c r="F22" s="36">
        <f t="shared" si="4"/>
        <v>317885.25466604246</v>
      </c>
      <c r="G22" s="36">
        <f t="shared" si="7"/>
        <v>153807.7928478606</v>
      </c>
      <c r="H22" s="36">
        <f t="shared" si="5"/>
        <v>-3563.5546660424443</v>
      </c>
      <c r="I22" s="37">
        <f t="shared" si="8"/>
        <v>12698921.857872877</v>
      </c>
      <c r="J22" s="39">
        <f>m_20</f>
        <v>11</v>
      </c>
      <c r="K22" s="39">
        <f t="shared" si="6"/>
        <v>-712710933.2084888</v>
      </c>
      <c r="L22" s="33"/>
      <c r="M22" s="33"/>
      <c r="N22" s="33"/>
      <c r="O22" s="33"/>
      <c r="P22" s="33"/>
      <c r="Q22" s="33"/>
    </row>
    <row r="23" spans="1:17" ht="12.75">
      <c r="A23" s="36">
        <f t="shared" si="10"/>
        <v>5E-06</v>
      </c>
      <c r="B23" s="38">
        <f>y_21</f>
        <v>333461.7</v>
      </c>
      <c r="C23" s="39">
        <f t="shared" si="1"/>
        <v>1.6673085000000003</v>
      </c>
      <c r="D23" s="36">
        <f t="shared" si="2"/>
        <v>2.40909090909091E-06</v>
      </c>
      <c r="E23" s="37">
        <f t="shared" si="3"/>
        <v>169384.23818181816</v>
      </c>
      <c r="F23" s="36">
        <f t="shared" si="4"/>
        <v>317885.25466604246</v>
      </c>
      <c r="G23" s="36">
        <f t="shared" si="7"/>
        <v>153807.7928478606</v>
      </c>
      <c r="H23" s="36">
        <f t="shared" si="5"/>
        <v>15576.445333957556</v>
      </c>
      <c r="I23" s="37">
        <f t="shared" si="8"/>
        <v>242625649.24176812</v>
      </c>
      <c r="J23" s="39">
        <f>m_21</f>
        <v>20</v>
      </c>
      <c r="K23" s="39">
        <f t="shared" si="6"/>
        <v>3115289066.791511</v>
      </c>
      <c r="L23" s="33"/>
      <c r="M23" s="33"/>
      <c r="N23" s="33"/>
      <c r="O23" s="33"/>
      <c r="P23" s="33"/>
      <c r="Q23" s="33"/>
    </row>
    <row r="24" spans="1:17" ht="12.75">
      <c r="A24" s="41">
        <f t="shared" si="10"/>
        <v>5E-06</v>
      </c>
      <c r="B24" s="42">
        <f>y_22</f>
        <v>335451.7</v>
      </c>
      <c r="C24" s="43">
        <f t="shared" si="1"/>
        <v>1.6772585000000002</v>
      </c>
      <c r="D24" s="41">
        <f t="shared" si="2"/>
        <v>2.40909090909091E-06</v>
      </c>
      <c r="E24" s="44">
        <f t="shared" si="3"/>
        <v>171374.23818181816</v>
      </c>
      <c r="F24" s="41">
        <f t="shared" si="4"/>
        <v>317885.25466604246</v>
      </c>
      <c r="G24" s="41">
        <f t="shared" si="7"/>
        <v>153807.7928478606</v>
      </c>
      <c r="H24" s="41">
        <f t="shared" si="5"/>
        <v>17566.445333957556</v>
      </c>
      <c r="I24" s="44">
        <f t="shared" si="8"/>
        <v>308580001.6709192</v>
      </c>
      <c r="J24" s="43">
        <f>m_22</f>
        <v>21</v>
      </c>
      <c r="K24" s="43">
        <f t="shared" si="6"/>
        <v>3513289066.791511</v>
      </c>
      <c r="L24" s="33"/>
      <c r="M24" s="33"/>
      <c r="N24" s="33"/>
      <c r="O24" s="33"/>
      <c r="P24" s="33"/>
      <c r="Q24" s="33"/>
    </row>
    <row r="25" spans="1:17" ht="12.75">
      <c r="A25" s="45">
        <f>AVERAGE(A3:A24)</f>
        <v>2.5909090909090906E-06</v>
      </c>
      <c r="B25" s="45">
        <f>AVERAGE(B3:B24)</f>
        <v>164077.46181818185</v>
      </c>
      <c r="C25" s="45">
        <f>AVERAGE(C3:C24)</f>
        <v>0.6364306143181819</v>
      </c>
      <c r="D25" s="33"/>
      <c r="E25" s="33"/>
      <c r="F25" s="37">
        <f>AVERAGE(F3:F24)</f>
        <v>164077.4618181819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23" ht="12.75">
      <c r="A26" s="33">
        <f>COUNT(A3:A24)</f>
        <v>22</v>
      </c>
      <c r="B26" s="33"/>
      <c r="C26" s="33"/>
      <c r="D26" s="33"/>
      <c r="E26" s="33"/>
      <c r="F26" s="33"/>
      <c r="G26" s="33"/>
      <c r="H26" s="33" t="s">
        <v>29</v>
      </c>
      <c r="I26" s="33">
        <f>A3</f>
        <v>2.5E-07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15.75">
      <c r="A27" s="33" t="s">
        <v>26</v>
      </c>
      <c r="B27" s="33">
        <f>INDEX(LINEST(alle_y_data,alle_x_data,1,1),4,2)</f>
        <v>20</v>
      </c>
      <c r="C27" s="33" t="s">
        <v>27</v>
      </c>
      <c r="D27" s="102">
        <f>TINV(0.025,dfree)</f>
        <v>2.4231165398734076</v>
      </c>
      <c r="E27" s="96" t="s">
        <v>149</v>
      </c>
      <c r="F27" s="97">
        <f>SLOPE(alle_y_data,alle_x_data)</f>
        <v>63844744200.998726</v>
      </c>
      <c r="G27" s="33"/>
      <c r="H27" s="33" t="s">
        <v>30</v>
      </c>
      <c r="I27" s="33">
        <f>A24</f>
        <v>5E-06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5.75">
      <c r="A28" s="33" t="s">
        <v>12</v>
      </c>
      <c r="B28" s="33">
        <f>SUMPRODUCT(alle_x_data,alle_y_data)-Ndata*ymean*xmean</f>
        <v>4.649058191363638</v>
      </c>
      <c r="C28" s="33" t="s">
        <v>39</v>
      </c>
      <c r="D28" s="102">
        <f>TINV(0.005,dfree)</f>
        <v>3.1534005329064536</v>
      </c>
      <c r="E28" s="96" t="s">
        <v>150</v>
      </c>
      <c r="F28" s="97">
        <f>INTERCEPT(alle_y_data,alle_x_data)</f>
        <v>-1338.4663389511988</v>
      </c>
      <c r="G28" s="33"/>
      <c r="H28" s="33" t="s">
        <v>28</v>
      </c>
      <c r="I28" s="33" t="s">
        <v>32</v>
      </c>
      <c r="J28" s="33" t="s">
        <v>33</v>
      </c>
      <c r="K28" s="33" t="s">
        <v>40</v>
      </c>
      <c r="L28" s="33" t="s">
        <v>41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5.75">
      <c r="A29" s="33" t="s">
        <v>13</v>
      </c>
      <c r="B29" s="33">
        <f>SUMSQ(D10:D24)</f>
        <v>3.874896694214879E-11</v>
      </c>
      <c r="C29" s="33"/>
      <c r="D29" s="33"/>
      <c r="E29" s="98"/>
      <c r="F29" s="98"/>
      <c r="G29" s="33"/>
      <c r="H29" s="33">
        <f>Xstart</f>
        <v>2.5E-07</v>
      </c>
      <c r="I29" s="33">
        <f>slope*$H29+intercept-tval_95*sqrtsquare*SQRT(1+1/Ndata+($H29-xmean)^2/S_xx)</f>
        <v>-10478.050218595183</v>
      </c>
      <c r="J29" s="33">
        <f>slope*$H29+intercept+tval_95*sqrtsquare*SQRT(1+1/Ndata+($H29-xmean)^2/S_xx)</f>
        <v>39723.48964119214</v>
      </c>
      <c r="K29" s="33">
        <f>slope*$H29+intercept-tval_99*sqrtsquare*SQRT(1+1/Ndata+($H29-xmean)^2/S_xx)</f>
        <v>-18042.973403661723</v>
      </c>
      <c r="L29" s="33">
        <f>slope*$H29+intercept+tval_99*sqrtsquare*SQRT(1+1/Ndata+($H29-xmean)^2/S_xx)</f>
        <v>47288.41282625868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8">
      <c r="A30" s="33" t="s">
        <v>16</v>
      </c>
      <c r="B30" s="33">
        <f>SUMSQ(E10:E24)</f>
        <v>160710128017.4157</v>
      </c>
      <c r="C30" s="33"/>
      <c r="D30" s="33"/>
      <c r="E30" s="96"/>
      <c r="F30" s="99" t="s">
        <v>151</v>
      </c>
      <c r="G30" s="33"/>
      <c r="H30" s="33">
        <f>H29+(Xstop-Xstart)/50</f>
        <v>3.45E-07</v>
      </c>
      <c r="I30" s="33">
        <f aca="true" t="shared" si="11" ref="I30:I79">slope*$H30+intercept-tval_95*sqrtsquare*SQRT(1+1/Ndata+($H30-xmean)^2/S_xx)</f>
        <v>-4293.604023679793</v>
      </c>
      <c r="J30" s="33">
        <f aca="true" t="shared" si="12" ref="J30:J79">slope*$H30+intercept+tval_95*sqrtsquare*SQRT(1+1/Ndata+($H30-xmean)^2/S_xx)</f>
        <v>45669.544844466516</v>
      </c>
      <c r="K30" s="33">
        <f aca="true" t="shared" si="13" ref="K30:K79">slope*$H30+intercept-tval_99*sqrtsquare*SQRT(1+1/Ndata+($H30-xmean)^2/S_xx)</f>
        <v>-11822.60381785408</v>
      </c>
      <c r="L30" s="33">
        <f aca="true" t="shared" si="14" ref="L30:L79">slope*$H30+intercept+tval_99*sqrtsquare*SQRT(1+1/Ndata+($H30-xmean)^2/S_xx)</f>
        <v>53198.5446386408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15.75">
      <c r="A31" s="33" t="s">
        <v>19</v>
      </c>
      <c r="B31" s="33">
        <f>SUMSQ(G10:G24)</f>
        <v>157946654380.85736</v>
      </c>
      <c r="C31" s="46" t="s">
        <v>25</v>
      </c>
      <c r="D31" s="33"/>
      <c r="E31" s="96" t="s">
        <v>152</v>
      </c>
      <c r="F31" s="97">
        <f>INDEX(LINEST(alle_y_data,alle_x_data,1,1),2,1)</f>
        <v>1114270232.963796</v>
      </c>
      <c r="G31" s="33"/>
      <c r="H31" s="33">
        <f aca="true" t="shared" si="15" ref="H31:H79">H30+(Xstop-Xstart)/50</f>
        <v>4.3999999999999997E-07</v>
      </c>
      <c r="I31" s="33">
        <f t="shared" si="11"/>
        <v>1886.4410614429144</v>
      </c>
      <c r="J31" s="33">
        <f t="shared" si="12"/>
        <v>51620.00115753356</v>
      </c>
      <c r="K31" s="33">
        <f t="shared" si="13"/>
        <v>-5607.961757626512</v>
      </c>
      <c r="L31" s="33">
        <f t="shared" si="14"/>
        <v>59114.40397660299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5.75">
      <c r="A32" s="33" t="s">
        <v>20</v>
      </c>
      <c r="B32" s="33">
        <f>SUMSQ(Residualer)</f>
        <v>1808218399.6498604</v>
      </c>
      <c r="C32" s="33"/>
      <c r="D32" s="33"/>
      <c r="E32" s="96" t="s">
        <v>153</v>
      </c>
      <c r="F32" s="97">
        <f>INDEX(LINEST(alle_y_data,alle_x_data,1,1),2,2)</f>
        <v>3527.6337197208672</v>
      </c>
      <c r="G32" s="33"/>
      <c r="H32" s="33">
        <f t="shared" si="15"/>
        <v>5.35E-07</v>
      </c>
      <c r="I32" s="33">
        <f t="shared" si="11"/>
        <v>8062.023813532684</v>
      </c>
      <c r="J32" s="33">
        <f t="shared" si="12"/>
        <v>57574.91980363356</v>
      </c>
      <c r="K32" s="33">
        <f t="shared" si="13"/>
        <v>600.8731021909589</v>
      </c>
      <c r="L32" s="33">
        <f t="shared" si="14"/>
        <v>65036.070514975276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5.75">
      <c r="A33" s="33" t="s">
        <v>22</v>
      </c>
      <c r="B33" s="33">
        <f>SumSquares/(Ndata-2)</f>
        <v>90410919.98249301</v>
      </c>
      <c r="C33" s="33" t="s">
        <v>31</v>
      </c>
      <c r="D33" s="103">
        <f>SQRT(B33)</f>
        <v>9508.465700758088</v>
      </c>
      <c r="E33" s="96" t="s">
        <v>154</v>
      </c>
      <c r="F33" s="97">
        <f>INDEX(LINEST(alle_y_data,alle_x_data,1,1),3,2)</f>
        <v>9508.465700758088</v>
      </c>
      <c r="G33" s="33"/>
      <c r="H33" s="33">
        <f t="shared" si="15"/>
        <v>6.3E-07</v>
      </c>
      <c r="I33" s="33">
        <f t="shared" si="11"/>
        <v>14233.084314591546</v>
      </c>
      <c r="J33" s="33">
        <f t="shared" si="12"/>
        <v>63534.36070076446</v>
      </c>
      <c r="K33" s="33">
        <f t="shared" si="13"/>
        <v>6803.82278538727</v>
      </c>
      <c r="L33" s="33">
        <f t="shared" si="14"/>
        <v>70963.62222996874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ht="15.75">
      <c r="A34" s="33" t="s">
        <v>60</v>
      </c>
      <c r="B34" s="33">
        <f>SQRT(B33)</f>
        <v>9508.465700758088</v>
      </c>
      <c r="C34" s="33"/>
      <c r="D34" s="33"/>
      <c r="E34" s="96" t="s">
        <v>155</v>
      </c>
      <c r="F34" s="100">
        <f>INDEX(LINEST(alle_y_data,alle_x_data,1,1),3,1)</f>
        <v>0.9939448758815467</v>
      </c>
      <c r="G34" s="33"/>
      <c r="H34" s="33">
        <f t="shared" si="15"/>
        <v>7.25E-07</v>
      </c>
      <c r="I34" s="33">
        <f t="shared" si="11"/>
        <v>20399.564090822405</v>
      </c>
      <c r="J34" s="33">
        <f t="shared" si="12"/>
        <v>69498.38232272337</v>
      </c>
      <c r="K34" s="33">
        <f t="shared" si="13"/>
        <v>13000.81119520856</v>
      </c>
      <c r="L34" s="33">
        <f t="shared" si="14"/>
        <v>76897.13521833721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ht="15.75">
      <c r="A35" s="33" t="s">
        <v>23</v>
      </c>
      <c r="B35" s="33">
        <f>SUMSQ(alle_x_data)</f>
        <v>2.2050000000000007E-10</v>
      </c>
      <c r="C35" s="33"/>
      <c r="D35" s="33"/>
      <c r="E35" s="101" t="s">
        <v>156</v>
      </c>
      <c r="F35" s="100">
        <f>SQRT(F34)</f>
        <v>0.9969678409465105</v>
      </c>
      <c r="G35" s="33"/>
      <c r="H35" s="33">
        <f t="shared" si="15"/>
        <v>8.200000000000001E-07</v>
      </c>
      <c r="I35" s="33">
        <f t="shared" si="11"/>
        <v>26561.40625269706</v>
      </c>
      <c r="J35" s="33">
        <f t="shared" si="12"/>
        <v>75467.04155903845</v>
      </c>
      <c r="K35" s="33">
        <f t="shared" si="13"/>
        <v>19191.764296640173</v>
      </c>
      <c r="L35" s="33">
        <f t="shared" si="14"/>
        <v>82836.68351509534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ht="12.75">
      <c r="A36" s="33" t="s">
        <v>24</v>
      </c>
      <c r="B36" s="33">
        <f>SUMSQ(alle_y_data)</f>
        <v>890897245890.1512</v>
      </c>
      <c r="C36" s="33"/>
      <c r="D36" s="33"/>
      <c r="E36" s="33" t="s">
        <v>157</v>
      </c>
      <c r="F36" s="33">
        <f>INDEX(LINEST(alle_y_data,alle_x_data,1,1),4,1)</f>
        <v>3282.9876198654374</v>
      </c>
      <c r="G36" s="33"/>
      <c r="H36" s="33">
        <f t="shared" si="15"/>
        <v>9.150000000000001E-07</v>
      </c>
      <c r="I36" s="33">
        <f t="shared" si="11"/>
        <v>32718.55563549097</v>
      </c>
      <c r="J36" s="33">
        <f t="shared" si="12"/>
        <v>81440.3935744343</v>
      </c>
      <c r="K36" s="33">
        <f t="shared" si="13"/>
        <v>25376.610299296088</v>
      </c>
      <c r="L36" s="33">
        <f t="shared" si="14"/>
        <v>88782.33891062919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12.75">
      <c r="A37" s="33" t="s">
        <v>61</v>
      </c>
      <c r="B37" s="33">
        <f>tval_95^2*svalue^2*S_xx/slope^2</f>
        <v>5.046372658217109E-24</v>
      </c>
      <c r="C37" s="33"/>
      <c r="D37" s="33"/>
      <c r="E37" s="33"/>
      <c r="F37" s="33"/>
      <c r="G37" s="33"/>
      <c r="H37" s="33">
        <f t="shared" si="15"/>
        <v>1.01E-06</v>
      </c>
      <c r="I37" s="33">
        <f t="shared" si="11"/>
        <v>38870.95893960231</v>
      </c>
      <c r="J37" s="33">
        <f t="shared" si="12"/>
        <v>87418.49166851272</v>
      </c>
      <c r="K37" s="33">
        <f t="shared" si="13"/>
        <v>31555.27984002763</v>
      </c>
      <c r="L37" s="33">
        <f t="shared" si="14"/>
        <v>94734.17076808741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2.75">
      <c r="A38" s="33" t="s">
        <v>62</v>
      </c>
      <c r="B38" s="33">
        <f>tval_99^2*svalue^2*S_xx/slope^2</f>
        <v>8.546513596304397E-24</v>
      </c>
      <c r="C38" s="33"/>
      <c r="D38" s="33"/>
      <c r="E38" s="33"/>
      <c r="F38" s="33"/>
      <c r="G38" s="33"/>
      <c r="H38" s="33">
        <f t="shared" si="15"/>
        <v>1.105E-06</v>
      </c>
      <c r="I38" s="33">
        <f t="shared" si="11"/>
        <v>45018.564869938324</v>
      </c>
      <c r="J38" s="33">
        <f t="shared" si="12"/>
        <v>93401.38713636645</v>
      </c>
      <c r="K38" s="33">
        <f t="shared" si="13"/>
        <v>37727.7061643184</v>
      </c>
      <c r="L38" s="33">
        <f t="shared" si="14"/>
        <v>100692.24584198638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12.75">
      <c r="A39" s="33"/>
      <c r="B39" s="33"/>
      <c r="C39" s="33"/>
      <c r="D39" s="33"/>
      <c r="E39" s="33"/>
      <c r="F39" s="33"/>
      <c r="G39" s="33"/>
      <c r="H39" s="33">
        <f t="shared" si="15"/>
        <v>1.2E-06</v>
      </c>
      <c r="I39" s="33">
        <f t="shared" si="11"/>
        <v>51161.32427362169</v>
      </c>
      <c r="J39" s="33">
        <f t="shared" si="12"/>
        <v>99389.12913087284</v>
      </c>
      <c r="K39" s="33">
        <f t="shared" si="13"/>
        <v>43893.82530549285</v>
      </c>
      <c r="L39" s="33">
        <f t="shared" si="14"/>
        <v>106656.62809900168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12.75">
      <c r="A40" s="33" t="s">
        <v>158</v>
      </c>
      <c r="B40" s="33"/>
      <c r="C40" s="33"/>
      <c r="D40" s="33"/>
      <c r="E40" s="33"/>
      <c r="F40" s="33"/>
      <c r="G40" s="33"/>
      <c r="H40" s="33">
        <f t="shared" si="15"/>
        <v>1.2949999999999999E-06</v>
      </c>
      <c r="I40" s="33">
        <f t="shared" si="11"/>
        <v>57299.19027524594</v>
      </c>
      <c r="J40" s="33">
        <f t="shared" si="12"/>
        <v>105381.76452743834</v>
      </c>
      <c r="K40" s="33">
        <f t="shared" si="13"/>
        <v>50053.57626073522</v>
      </c>
      <c r="L40" s="33">
        <f t="shared" si="14"/>
        <v>112627.37854194906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ht="12.75">
      <c r="A41" s="33" t="s">
        <v>159</v>
      </c>
      <c r="B41" s="33"/>
      <c r="C41" s="33"/>
      <c r="D41" s="33"/>
      <c r="E41" s="33"/>
      <c r="F41" s="33"/>
      <c r="G41" s="33"/>
      <c r="H41" s="33">
        <f t="shared" si="15"/>
        <v>1.3899999999999998E-06</v>
      </c>
      <c r="I41" s="33">
        <f t="shared" si="11"/>
        <v>63432.118408891445</v>
      </c>
      <c r="J41" s="33">
        <f t="shared" si="12"/>
        <v>111379.33779198259</v>
      </c>
      <c r="K41" s="33">
        <f t="shared" si="13"/>
        <v>56206.901162892915</v>
      </c>
      <c r="L41" s="33">
        <f t="shared" si="14"/>
        <v>118604.55503798112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ht="12.75">
      <c r="A42" s="33" t="s">
        <v>160</v>
      </c>
      <c r="B42" s="33"/>
      <c r="C42" s="33"/>
      <c r="D42" s="33"/>
      <c r="E42" s="33"/>
      <c r="F42" s="33"/>
      <c r="G42" s="33"/>
      <c r="H42" s="33">
        <f t="shared" si="15"/>
        <v>1.4849999999999998E-06</v>
      </c>
      <c r="I42" s="33">
        <f t="shared" si="11"/>
        <v>69560.06674610364</v>
      </c>
      <c r="J42" s="33">
        <f t="shared" si="12"/>
        <v>117381.89085296015</v>
      </c>
      <c r="K42" s="33">
        <f t="shared" si="13"/>
        <v>62353.74544702495</v>
      </c>
      <c r="L42" s="33">
        <f t="shared" si="14"/>
        <v>124588.21215203883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23" ht="12.75">
      <c r="A43" s="33"/>
      <c r="B43" s="33"/>
      <c r="C43" s="33"/>
      <c r="D43" s="33"/>
      <c r="E43" s="33"/>
      <c r="F43" s="33"/>
      <c r="G43" s="33"/>
      <c r="H43" s="33">
        <f t="shared" si="15"/>
        <v>1.5799999999999997E-06</v>
      </c>
      <c r="I43" s="33">
        <f t="shared" si="11"/>
        <v>75682.99601903248</v>
      </c>
      <c r="J43" s="33">
        <f t="shared" si="12"/>
        <v>123389.46297822105</v>
      </c>
      <c r="K43" s="33">
        <f t="shared" si="13"/>
        <v>68494.0580106535</v>
      </c>
      <c r="L43" s="33">
        <f t="shared" si="14"/>
        <v>130578.40098660003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ht="12.75">
      <c r="A44" s="33" t="s">
        <v>59</v>
      </c>
      <c r="B44" s="33"/>
      <c r="C44" s="33"/>
      <c r="D44" s="33"/>
      <c r="E44" s="33"/>
      <c r="F44" s="33"/>
      <c r="G44" s="33"/>
      <c r="H44" s="33">
        <f t="shared" si="15"/>
        <v>1.6749999999999996E-06</v>
      </c>
      <c r="I44" s="33">
        <f t="shared" si="11"/>
        <v>81800.86973793848</v>
      </c>
      <c r="J44" s="33">
        <f t="shared" si="12"/>
        <v>129402.0906575048</v>
      </c>
      <c r="K44" s="33">
        <f t="shared" si="13"/>
        <v>74627.79136668418</v>
      </c>
      <c r="L44" s="33">
        <f t="shared" si="14"/>
        <v>136575.16902875912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ht="12.75">
      <c r="A45" s="49" t="s">
        <v>7</v>
      </c>
      <c r="B45" s="49" t="s">
        <v>51</v>
      </c>
      <c r="C45" s="112" t="s">
        <v>49</v>
      </c>
      <c r="D45" s="113"/>
      <c r="E45" s="114" t="s">
        <v>50</v>
      </c>
      <c r="F45" s="113"/>
      <c r="G45" s="64"/>
      <c r="H45" s="33">
        <f t="shared" si="15"/>
        <v>1.7699999999999996E-06</v>
      </c>
      <c r="I45" s="33">
        <f t="shared" si="11"/>
        <v>87913.65430228492</v>
      </c>
      <c r="J45" s="33">
        <f t="shared" si="12"/>
        <v>135419.80749134813</v>
      </c>
      <c r="K45" s="33">
        <f t="shared" si="13"/>
        <v>80754.9017879793</v>
      </c>
      <c r="L45" s="33">
        <f t="shared" si="14"/>
        <v>142578.56000565374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ht="12.75">
      <c r="A46" s="49">
        <v>0</v>
      </c>
      <c r="B46" s="49">
        <f>slope*$A46+intercept</f>
        <v>-1338.4663389511988</v>
      </c>
      <c r="C46" s="50">
        <f>slope*$A46+intercept-tval_95*sqrtsquare*SQRT(1+1/Ndata+($A46-xmean)^2/S_xx)</f>
        <v>-26773.475531286465</v>
      </c>
      <c r="D46" s="50">
        <f>slope*$A46+intercept+tval_95*sqrtsquare*SQRT(1+1/Ndata+($A46-xmean)^2/S_xx)</f>
        <v>24096.542853384068</v>
      </c>
      <c r="E46" s="50">
        <f>slope*$A46+intercept-tval_99*sqrtsquare*SQRT(1+1/Ndata+($A46-xmean)^2/S_xx)</f>
        <v>-34439.132452922284</v>
      </c>
      <c r="F46" s="50">
        <f>slope*$A46+intercept+tval_99*sqrtsquare*SQRT(1+1/Ndata+($A46-xmean)^2/S_xx)</f>
        <v>31762.199775019886</v>
      </c>
      <c r="G46" s="65"/>
      <c r="H46" s="33">
        <f t="shared" si="15"/>
        <v>1.8649999999999995E-06</v>
      </c>
      <c r="I46" s="33">
        <f t="shared" si="11"/>
        <v>94021.31910465918</v>
      </c>
      <c r="J46" s="33">
        <f t="shared" si="12"/>
        <v>141442.64408716362</v>
      </c>
      <c r="K46" s="33">
        <f t="shared" si="13"/>
        <v>86875.34944259944</v>
      </c>
      <c r="L46" s="33">
        <f t="shared" si="14"/>
        <v>148588.61374922332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ht="12.75">
      <c r="A47" s="33"/>
      <c r="B47" s="33"/>
      <c r="C47" s="33"/>
      <c r="D47" s="33"/>
      <c r="E47" s="33"/>
      <c r="F47" s="33"/>
      <c r="G47" s="33"/>
      <c r="H47" s="33">
        <f t="shared" si="15"/>
        <v>1.9599999999999994E-06</v>
      </c>
      <c r="I47" s="33">
        <f t="shared" si="11"/>
        <v>100123.83662679873</v>
      </c>
      <c r="J47" s="33">
        <f t="shared" si="12"/>
        <v>147470.6279632138</v>
      </c>
      <c r="K47" s="33">
        <f t="shared" si="13"/>
        <v>92989.09851876987</v>
      </c>
      <c r="L47" s="33">
        <f t="shared" si="14"/>
        <v>154605.36607124266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ht="12.75">
      <c r="A48" s="49" t="s">
        <v>8</v>
      </c>
      <c r="B48" s="49" t="s">
        <v>52</v>
      </c>
      <c r="C48" s="112" t="s">
        <v>49</v>
      </c>
      <c r="D48" s="113"/>
      <c r="E48" s="114" t="s">
        <v>50</v>
      </c>
      <c r="F48" s="113"/>
      <c r="G48" s="64"/>
      <c r="H48" s="33">
        <f t="shared" si="15"/>
        <v>2.0549999999999994E-06</v>
      </c>
      <c r="I48" s="33">
        <f t="shared" si="11"/>
        <v>106221.18252703747</v>
      </c>
      <c r="J48" s="33">
        <f t="shared" si="12"/>
        <v>153503.78346116486</v>
      </c>
      <c r="K48" s="33">
        <f t="shared" si="13"/>
        <v>99096.11733868162</v>
      </c>
      <c r="L48" s="33">
        <f t="shared" si="14"/>
        <v>160628.8486495207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3" ht="12.75">
      <c r="A49" s="49">
        <v>0</v>
      </c>
      <c r="B49" s="49">
        <f>($A49-intercept)/slope</f>
        <v>2.0964393478300773E-08</v>
      </c>
      <c r="C49" s="50">
        <f>$B$49+(($B$49-xmean)*gval_95-ABS((tval_95*svalue/slope))*SQRT(($B$49-xmean)^2/S_xx+(Ndata+6)*(1-gval_95)/Ndata/6))/(1-gval_95)</f>
        <v>-2.02245584548681E-07</v>
      </c>
      <c r="D49" s="50">
        <f>$B$49+(($B$49-xmean)*gval_95+ABS((tval_95*svalue/slope))*SQRT(($B$49-xmean)^2/S_xx+(Ndata+6)*(1-gval_95)/Ndata/6))/(1-gval_95)</f>
        <v>2.4417437150528255E-07</v>
      </c>
      <c r="E49" s="50">
        <f>$B$49+(($B$49-xmean)*gval_99-ABS((tval_99*svalue/slope))*SQRT(($B$49-xmean)^2/S_xx+(Ndata+6)*(1-gval_99)/Ndata/6))/(1-gval_99)</f>
        <v>-2.695170803087977E-07</v>
      </c>
      <c r="F49" s="50">
        <f>$B$49+(($B$49-xmean)*gval_99+ABS((tval_95*svalue/slope))*SQRT(($B$49-xmean)^2/S_xx+(Ndata+6)*(1-gval_99)/Ndata/6))/(1-gval_99)</f>
        <v>2.4417437150528255E-07</v>
      </c>
      <c r="G49" s="65"/>
      <c r="H49" s="33">
        <f t="shared" si="15"/>
        <v>2.1499999999999993E-06</v>
      </c>
      <c r="I49" s="33">
        <f t="shared" si="11"/>
        <v>112313.33571853855</v>
      </c>
      <c r="J49" s="33">
        <f t="shared" si="12"/>
        <v>159542.1316678535</v>
      </c>
      <c r="K49" s="33">
        <f t="shared" si="13"/>
        <v>105196.37846030231</v>
      </c>
      <c r="L49" s="33">
        <f t="shared" si="14"/>
        <v>166659.08892608975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ht="12.75">
      <c r="A50" s="33"/>
      <c r="B50" s="33"/>
      <c r="C50" s="16"/>
      <c r="D50" s="33"/>
      <c r="E50" s="16"/>
      <c r="F50" s="33"/>
      <c r="G50" s="33"/>
      <c r="H50" s="33">
        <f t="shared" si="15"/>
        <v>2.2449999999999993E-06</v>
      </c>
      <c r="I50" s="33">
        <f t="shared" si="11"/>
        <v>118400.27843773636</v>
      </c>
      <c r="J50" s="33">
        <f t="shared" si="12"/>
        <v>165585.69034684545</v>
      </c>
      <c r="K50" s="33">
        <f t="shared" si="13"/>
        <v>111289.8587664453</v>
      </c>
      <c r="L50" s="33">
        <f t="shared" si="14"/>
        <v>172696.1100181365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ht="12.75">
      <c r="A51" s="33"/>
      <c r="B51" s="33"/>
      <c r="C51" s="33"/>
      <c r="D51" s="33"/>
      <c r="E51" s="33"/>
      <c r="F51" s="33"/>
      <c r="G51" s="33"/>
      <c r="H51" s="33">
        <f t="shared" si="15"/>
        <v>2.339999999999999E-06</v>
      </c>
      <c r="I51" s="33">
        <f t="shared" si="11"/>
        <v>124481.99630247621</v>
      </c>
      <c r="J51" s="33">
        <f t="shared" si="12"/>
        <v>171634.47388029535</v>
      </c>
      <c r="K51" s="33">
        <f t="shared" si="13"/>
        <v>117376.53954043168</v>
      </c>
      <c r="L51" s="33">
        <f t="shared" si="14"/>
        <v>178739.93064233987</v>
      </c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ht="12.75">
      <c r="A52" s="33"/>
      <c r="B52" s="33"/>
      <c r="C52" s="33"/>
      <c r="D52" s="33"/>
      <c r="E52" s="33"/>
      <c r="F52" s="33"/>
      <c r="G52" s="33"/>
      <c r="H52" s="33">
        <f t="shared" si="15"/>
        <v>2.434999999999999E-06</v>
      </c>
      <c r="I52" s="33">
        <f t="shared" si="11"/>
        <v>130558.47835941163</v>
      </c>
      <c r="J52" s="33">
        <f t="shared" si="12"/>
        <v>177688.49322154967</v>
      </c>
      <c r="K52" s="33">
        <f t="shared" si="13"/>
        <v>123456.40652777223</v>
      </c>
      <c r="L52" s="33">
        <f t="shared" si="14"/>
        <v>184790.5650531891</v>
      </c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ht="12.75">
      <c r="A53" s="49" t="s">
        <v>55</v>
      </c>
      <c r="B53" s="52" t="s">
        <v>63</v>
      </c>
      <c r="C53" s="49" t="s">
        <v>52</v>
      </c>
      <c r="D53" s="114" t="s">
        <v>49</v>
      </c>
      <c r="E53" s="117"/>
      <c r="F53" s="114" t="s">
        <v>50</v>
      </c>
      <c r="G53" s="117"/>
      <c r="H53" s="33">
        <f t="shared" si="15"/>
        <v>2.529999999999999E-06</v>
      </c>
      <c r="I53" s="33">
        <f t="shared" si="11"/>
        <v>136629.71712029708</v>
      </c>
      <c r="J53" s="33">
        <f t="shared" si="12"/>
        <v>183747.75585885398</v>
      </c>
      <c r="K53" s="33">
        <f t="shared" si="13"/>
        <v>129529.44998339811</v>
      </c>
      <c r="L53" s="33">
        <f t="shared" si="14"/>
        <v>190848.02299575295</v>
      </c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3" ht="12.75">
      <c r="A54" s="49">
        <f>maalt_Y</f>
        <v>327000</v>
      </c>
      <c r="B54" s="52">
        <f>'Measured data'!D2</f>
        <v>6</v>
      </c>
      <c r="C54" s="49">
        <f>($A54-intercept)/slope</f>
        <v>5.142764223555539E-06</v>
      </c>
      <c r="D54" s="50">
        <f>$C54+(($C54-xmean)*gval_95-ABS((tval_95*svalue/slope))*SQRT(($C54-xmean)^2/S_xx+(Ndata+$B54)*(1-gval_95)/Ndata/$B54))/(1-gval_95)</f>
        <v>4.920252874137153E-06</v>
      </c>
      <c r="E54" s="50">
        <f>$C54+(($C54-xmean)*gval_95+ABS((tval_95*svalue/slope))*SQRT(($C54-xmean)^2/S_xx+(Ndata+$B54)*(1-gval_95)/Ndata/$B54))/(1-gval_95)</f>
        <v>5.3652755729739244E-06</v>
      </c>
      <c r="F54" s="50">
        <f>$C54+(($C54-xmean)*gval_99-ABS((tval_99*svalue/slope))*SQRT(($C54-xmean)^2/S_xx+(Ndata+$B54)*(1-gval_99)/Ndata/$B54))/(1-gval_99)</f>
        <v>4.853191932546239E-06</v>
      </c>
      <c r="G54" s="50">
        <f>$C54+(($C54-xmean)*gval_99+ABS((tval_99*svalue/slope))*SQRT(($C54-xmean)^2/S_xx+(Ndata+$B54)*(1-gval_99)/Ndata/$B54))/(1-gval_99)</f>
        <v>5.432336514564839E-06</v>
      </c>
      <c r="H54" s="33">
        <f t="shared" si="15"/>
        <v>2.624999999999999E-06</v>
      </c>
      <c r="I54" s="33">
        <f t="shared" si="11"/>
        <v>142695.70858689692</v>
      </c>
      <c r="J54" s="33">
        <f t="shared" si="12"/>
        <v>189812.2657904439</v>
      </c>
      <c r="K54" s="33">
        <f t="shared" si="13"/>
        <v>135595.66470407692</v>
      </c>
      <c r="L54" s="33">
        <f t="shared" si="14"/>
        <v>196912.3096732639</v>
      </c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ht="12.75">
      <c r="A55" s="34"/>
      <c r="C55" s="33"/>
      <c r="D55" s="16"/>
      <c r="E55" s="33"/>
      <c r="F55" s="16"/>
      <c r="G55" s="33"/>
      <c r="H55" s="33">
        <f t="shared" si="15"/>
        <v>2.719999999999999E-06</v>
      </c>
      <c r="I55" s="33">
        <f t="shared" si="11"/>
        <v>148756.4522643173</v>
      </c>
      <c r="J55" s="33">
        <f t="shared" si="12"/>
        <v>195882.02351121325</v>
      </c>
      <c r="K55" s="33">
        <f t="shared" si="13"/>
        <v>141655.05004576276</v>
      </c>
      <c r="L55" s="33">
        <f t="shared" si="14"/>
        <v>202983.4257297678</v>
      </c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1:23" ht="12.75">
      <c r="A56" s="34"/>
      <c r="B56" s="33"/>
      <c r="C56" s="33"/>
      <c r="D56" s="33"/>
      <c r="E56" s="33"/>
      <c r="F56" s="33"/>
      <c r="G56" s="33"/>
      <c r="H56" s="33">
        <f t="shared" si="15"/>
        <v>2.814999999999999E-06</v>
      </c>
      <c r="I56" s="33">
        <f t="shared" si="11"/>
        <v>154811.9511626583</v>
      </c>
      <c r="J56" s="33">
        <f t="shared" si="12"/>
        <v>201957.026011062</v>
      </c>
      <c r="K56" s="33">
        <f t="shared" si="13"/>
        <v>147707.60992574596</v>
      </c>
      <c r="L56" s="33">
        <f t="shared" si="14"/>
        <v>209061.36724797435</v>
      </c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spans="1:23" ht="12.75">
      <c r="A57" s="37"/>
      <c r="B57" s="33"/>
      <c r="C57" s="33"/>
      <c r="D57" s="33"/>
      <c r="E57" s="33"/>
      <c r="F57" s="33"/>
      <c r="G57" s="33"/>
      <c r="H57" s="33">
        <f t="shared" si="15"/>
        <v>2.909999999999999E-06</v>
      </c>
      <c r="I57" s="33">
        <f t="shared" si="11"/>
        <v>160862.21178697218</v>
      </c>
      <c r="J57" s="33">
        <f t="shared" si="12"/>
        <v>208037.26678493788</v>
      </c>
      <c r="K57" s="33">
        <f t="shared" si="13"/>
        <v>153753.3528095852</v>
      </c>
      <c r="L57" s="33">
        <f t="shared" si="14"/>
        <v>215146.12576232487</v>
      </c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1:23" ht="12.75">
      <c r="A58" s="37"/>
      <c r="B58" s="33"/>
      <c r="C58" s="33"/>
      <c r="D58" s="33"/>
      <c r="E58" s="33"/>
      <c r="F58" s="33"/>
      <c r="G58" s="33"/>
      <c r="H58" s="33">
        <f t="shared" si="15"/>
        <v>3.0049999999999988E-06</v>
      </c>
      <c r="I58" s="33">
        <f t="shared" si="11"/>
        <v>166907.24411560717</v>
      </c>
      <c r="J58" s="33">
        <f t="shared" si="12"/>
        <v>214122.73585449264</v>
      </c>
      <c r="K58" s="33">
        <f t="shared" si="13"/>
        <v>159792.29168292444</v>
      </c>
      <c r="L58" s="33">
        <f t="shared" si="14"/>
        <v>221237.68828717538</v>
      </c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1:23" ht="12.75">
      <c r="A59" s="33"/>
      <c r="B59" s="33"/>
      <c r="C59" s="33"/>
      <c r="D59" s="33"/>
      <c r="E59" s="33"/>
      <c r="F59" s="33"/>
      <c r="G59" s="33"/>
      <c r="H59" s="33">
        <f t="shared" si="15"/>
        <v>3.0999999999999987E-06</v>
      </c>
      <c r="I59" s="33">
        <f t="shared" si="11"/>
        <v>172947.06156710355</v>
      </c>
      <c r="J59" s="33">
        <f t="shared" si="12"/>
        <v>220213.419801186</v>
      </c>
      <c r="K59" s="33">
        <f t="shared" si="13"/>
        <v>165824.44400841207</v>
      </c>
      <c r="L59" s="33">
        <f t="shared" si="14"/>
        <v>227336.0373598775</v>
      </c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ht="12.75">
      <c r="A60" s="33"/>
      <c r="B60" s="33"/>
      <c r="C60" s="33"/>
      <c r="D60" s="33"/>
      <c r="E60" s="33"/>
      <c r="F60" s="33"/>
      <c r="G60" s="33"/>
      <c r="H60" s="33">
        <f t="shared" si="15"/>
        <v>3.1949999999999986E-06</v>
      </c>
      <c r="I60" s="33">
        <f t="shared" si="11"/>
        <v>178981.68095589805</v>
      </c>
      <c r="J60" s="33">
        <f t="shared" si="12"/>
        <v>226309.30181058127</v>
      </c>
      <c r="K60" s="33">
        <f t="shared" si="13"/>
        <v>171849.83166805533</v>
      </c>
      <c r="L60" s="33">
        <f t="shared" si="14"/>
        <v>233441.151098424</v>
      </c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ht="12.75">
      <c r="A61" s="33"/>
      <c r="B61" s="33"/>
      <c r="C61" s="33"/>
      <c r="D61" s="33"/>
      <c r="E61" s="33"/>
      <c r="F61" s="33"/>
      <c r="G61" s="33"/>
      <c r="H61" s="33">
        <f t="shared" si="15"/>
        <v>3.2899999999999986E-06</v>
      </c>
      <c r="I61" s="33">
        <f t="shared" si="11"/>
        <v>185011.1224371754</v>
      </c>
      <c r="J61" s="33">
        <f t="shared" si="12"/>
        <v>232410.36172749367</v>
      </c>
      <c r="K61" s="33">
        <f t="shared" si="13"/>
        <v>177868.4808914512</v>
      </c>
      <c r="L61" s="33">
        <f t="shared" si="14"/>
        <v>239553.00327321785</v>
      </c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ht="12.75">
      <c r="A62" s="33"/>
      <c r="B62" s="33"/>
      <c r="C62" s="33"/>
      <c r="D62" s="33"/>
      <c r="E62" s="33"/>
      <c r="F62" s="33"/>
      <c r="G62" s="33"/>
      <c r="H62" s="33">
        <f t="shared" si="15"/>
        <v>3.3849999999999985E-06</v>
      </c>
      <c r="I62" s="33">
        <f t="shared" si="11"/>
        <v>191035.4094412857</v>
      </c>
      <c r="J62" s="33">
        <f t="shared" si="12"/>
        <v>238516.5761215731</v>
      </c>
      <c r="K62" s="33">
        <f t="shared" si="13"/>
        <v>183880.42217043834</v>
      </c>
      <c r="L62" s="33">
        <f t="shared" si="14"/>
        <v>245671.56339242047</v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1:23" ht="12.75">
      <c r="A63" s="33"/>
      <c r="B63" s="33"/>
      <c r="C63" s="33"/>
      <c r="D63" s="33"/>
      <c r="E63" s="33"/>
      <c r="F63" s="33"/>
      <c r="G63" s="33"/>
      <c r="H63" s="33">
        <f t="shared" si="15"/>
        <v>3.4799999999999984E-06</v>
      </c>
      <c r="I63" s="33">
        <f t="shared" si="11"/>
        <v>197054.56859821995</v>
      </c>
      <c r="J63" s="33">
        <f t="shared" si="12"/>
        <v>244627.9183628286</v>
      </c>
      <c r="K63" s="33">
        <f t="shared" si="13"/>
        <v>189885.69016081074</v>
      </c>
      <c r="L63" s="33">
        <f t="shared" si="14"/>
        <v>251796.79680023782</v>
      </c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:23" ht="12.75">
      <c r="A64" s="33"/>
      <c r="B64" s="33"/>
      <c r="C64" s="33"/>
      <c r="D64" s="33"/>
      <c r="E64" s="33"/>
      <c r="F64" s="33"/>
      <c r="G64" s="33"/>
      <c r="H64" s="33">
        <f t="shared" si="15"/>
        <v>3.5749999999999984E-06</v>
      </c>
      <c r="I64" s="33">
        <f t="shared" si="11"/>
        <v>203068.62965270248</v>
      </c>
      <c r="J64" s="33">
        <f t="shared" si="12"/>
        <v>250744.35870653583</v>
      </c>
      <c r="K64" s="33">
        <f t="shared" si="13"/>
        <v>195884.3235718208</v>
      </c>
      <c r="L64" s="33">
        <f t="shared" si="14"/>
        <v>257928.6647874175</v>
      </c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3" ht="12.75">
      <c r="A65" s="33"/>
      <c r="B65" s="33"/>
      <c r="C65" s="33"/>
      <c r="D65" s="33"/>
      <c r="E65" s="33"/>
      <c r="F65" s="33"/>
      <c r="G65" s="33"/>
      <c r="H65" s="33">
        <f t="shared" si="15"/>
        <v>3.6699999999999983E-06</v>
      </c>
      <c r="I65" s="33">
        <f t="shared" si="11"/>
        <v>209077.62537051996</v>
      </c>
      <c r="J65" s="33">
        <f t="shared" si="12"/>
        <v>256865.8643869081</v>
      </c>
      <c r="K65" s="33">
        <f t="shared" si="13"/>
        <v>201876.3650442773</v>
      </c>
      <c r="L65" s="33">
        <f t="shared" si="14"/>
        <v>264067.1247131508</v>
      </c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1:23" ht="12.75">
      <c r="A66" s="33"/>
      <c r="B66" s="33"/>
      <c r="C66" s="33"/>
      <c r="D66" s="33"/>
      <c r="E66" s="33"/>
      <c r="F66" s="33"/>
      <c r="G66" s="33"/>
      <c r="H66" s="33">
        <f t="shared" si="15"/>
        <v>3.7649999999999983E-06</v>
      </c>
      <c r="I66" s="33">
        <f t="shared" si="11"/>
        <v>215081.5914367569</v>
      </c>
      <c r="J66" s="33">
        <f t="shared" si="12"/>
        <v>262992.3997188609</v>
      </c>
      <c r="K66" s="33">
        <f t="shared" si="13"/>
        <v>207861.86101811106</v>
      </c>
      <c r="L66" s="33">
        <f t="shared" si="14"/>
        <v>270212.13013750676</v>
      </c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</row>
    <row r="67" spans="1:23" ht="12.75">
      <c r="A67" s="33"/>
      <c r="B67" s="33"/>
      <c r="C67" s="33"/>
      <c r="D67" s="33"/>
      <c r="E67" s="33"/>
      <c r="F67" s="33"/>
      <c r="G67" s="33"/>
      <c r="H67" s="33">
        <f t="shared" si="15"/>
        <v>3.859999999999999E-06</v>
      </c>
      <c r="I67" s="33">
        <f t="shared" si="11"/>
        <v>221080.56634665228</v>
      </c>
      <c r="J67" s="33">
        <f t="shared" si="12"/>
        <v>269123.9262071553</v>
      </c>
      <c r="K67" s="33">
        <f t="shared" si="13"/>
        <v>213840.86159033776</v>
      </c>
      <c r="L67" s="33">
        <f t="shared" si="14"/>
        <v>276363.6309634698</v>
      </c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spans="1:23" ht="12.75">
      <c r="A68" s="33"/>
      <c r="B68" s="33"/>
      <c r="C68" s="33"/>
      <c r="D68" s="33"/>
      <c r="E68" s="33"/>
      <c r="F68" s="33"/>
      <c r="G68" s="33"/>
      <c r="H68" s="33">
        <f t="shared" si="15"/>
        <v>3.9549999999999986E-06</v>
      </c>
      <c r="I68" s="33">
        <f t="shared" si="11"/>
        <v>227074.59128982603</v>
      </c>
      <c r="J68" s="33">
        <f t="shared" si="12"/>
        <v>275260.4026621713</v>
      </c>
      <c r="K68" s="33">
        <f t="shared" si="13"/>
        <v>219813.42036439216</v>
      </c>
      <c r="L68" s="33">
        <f t="shared" si="14"/>
        <v>282521.57358760515</v>
      </c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3" ht="12.75">
      <c r="A69" s="33"/>
      <c r="B69" s="33"/>
      <c r="C69" s="33"/>
      <c r="D69" s="33"/>
      <c r="E69" s="33"/>
      <c r="F69" s="33"/>
      <c r="G69" s="33"/>
      <c r="H69" s="33">
        <f t="shared" si="15"/>
        <v>4.0499999999999985E-06</v>
      </c>
      <c r="I69" s="33">
        <f t="shared" si="11"/>
        <v>233063.71002864983</v>
      </c>
      <c r="J69" s="33">
        <f t="shared" si="12"/>
        <v>281401.78532153723</v>
      </c>
      <c r="K69" s="33">
        <f t="shared" si="13"/>
        <v>225779.5942918421</v>
      </c>
      <c r="L69" s="33">
        <f t="shared" si="14"/>
        <v>288685.9010583449</v>
      </c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3" ht="12.75">
      <c r="A70" s="33"/>
      <c r="B70" s="33"/>
      <c r="C70" s="33"/>
      <c r="D70" s="33"/>
      <c r="E70" s="33"/>
      <c r="F70" s="33"/>
      <c r="G70" s="33"/>
      <c r="H70" s="33">
        <f t="shared" si="15"/>
        <v>4.1449999999999984E-06</v>
      </c>
      <c r="I70" s="33">
        <f t="shared" si="11"/>
        <v>239047.9687715537</v>
      </c>
      <c r="J70" s="33">
        <f t="shared" si="12"/>
        <v>287548.0279768232</v>
      </c>
      <c r="K70" s="33">
        <f t="shared" si="13"/>
        <v>231739.44350751216</v>
      </c>
      <c r="L70" s="33">
        <f t="shared" si="14"/>
        <v>294856.5532408647</v>
      </c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1:23" ht="12.75">
      <c r="A71" s="33"/>
      <c r="B71" s="33"/>
      <c r="C71" s="33"/>
      <c r="D71" s="33"/>
      <c r="E71" s="33"/>
      <c r="F71" s="33"/>
      <c r="G71" s="33"/>
      <c r="H71" s="33">
        <f t="shared" si="15"/>
        <v>4.239999999999998E-06</v>
      </c>
      <c r="I71" s="33">
        <f t="shared" si="11"/>
        <v>245027.41604206868</v>
      </c>
      <c r="J71" s="33">
        <f t="shared" si="12"/>
        <v>293699.0821044979</v>
      </c>
      <c r="K71" s="33">
        <f t="shared" si="13"/>
        <v>237693.03115905792</v>
      </c>
      <c r="L71" s="33">
        <f t="shared" si="14"/>
        <v>301033.46698750864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1:23" ht="12.75">
      <c r="A72" s="33"/>
      <c r="B72" s="33"/>
      <c r="C72" s="33"/>
      <c r="D72" s="33"/>
      <c r="E72" s="33"/>
      <c r="F72" s="33"/>
      <c r="G72" s="33"/>
      <c r="H72" s="33">
        <f t="shared" si="15"/>
        <v>4.334999999999998E-06</v>
      </c>
      <c r="I72" s="33">
        <f t="shared" si="11"/>
        <v>251002.1025444059</v>
      </c>
      <c r="J72" s="33">
        <f t="shared" si="12"/>
        <v>299854.89700035047</v>
      </c>
      <c r="K72" s="33">
        <f t="shared" si="13"/>
        <v>243640.4232320329</v>
      </c>
      <c r="L72" s="33">
        <f t="shared" si="14"/>
        <v>307216.57631272345</v>
      </c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</row>
    <row r="73" spans="1:23" ht="12.75">
      <c r="A73" s="33"/>
      <c r="B73" s="33"/>
      <c r="C73" s="33"/>
      <c r="D73" s="33"/>
      <c r="E73" s="33"/>
      <c r="F73" s="33"/>
      <c r="G73" s="33"/>
      <c r="H73" s="33">
        <f t="shared" si="15"/>
        <v>4.429999999999998E-06</v>
      </c>
      <c r="I73" s="33">
        <f t="shared" si="11"/>
        <v>256972.0810263624</v>
      </c>
      <c r="J73" s="33">
        <f t="shared" si="12"/>
        <v>306015.4199165837</v>
      </c>
      <c r="K73" s="33">
        <f t="shared" si="13"/>
        <v>249581.68837147695</v>
      </c>
      <c r="L73" s="33">
        <f t="shared" si="14"/>
        <v>313405.8125714691</v>
      </c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</row>
    <row r="74" spans="1:23" ht="12.75">
      <c r="A74" s="33"/>
      <c r="B74" s="33"/>
      <c r="C74" s="33"/>
      <c r="D74" s="33"/>
      <c r="E74" s="33"/>
      <c r="F74" s="33"/>
      <c r="G74" s="33"/>
      <c r="H74" s="33">
        <f t="shared" si="15"/>
        <v>4.524999999999998E-06</v>
      </c>
      <c r="I74" s="33">
        <f t="shared" si="11"/>
        <v>262937.4061403328</v>
      </c>
      <c r="J74" s="33">
        <f t="shared" si="12"/>
        <v>312180.59620080306</v>
      </c>
      <c r="K74" s="33">
        <f t="shared" si="13"/>
        <v>255516.89770103915</v>
      </c>
      <c r="L74" s="33">
        <f t="shared" si="14"/>
        <v>319601.1046400967</v>
      </c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</row>
    <row r="75" spans="1:23" ht="12.75">
      <c r="A75" s="33"/>
      <c r="B75" s="33"/>
      <c r="C75" s="33"/>
      <c r="D75" s="33"/>
      <c r="E75" s="33"/>
      <c r="F75" s="33"/>
      <c r="G75" s="33"/>
      <c r="H75" s="33">
        <f t="shared" si="15"/>
        <v>4.619999999999998E-06</v>
      </c>
      <c r="I75" s="33">
        <f t="shared" si="11"/>
        <v>268898.1343031792</v>
      </c>
      <c r="J75" s="33">
        <f t="shared" si="12"/>
        <v>318350.36943614634</v>
      </c>
      <c r="K75" s="33">
        <f t="shared" si="13"/>
        <v>261446.12464061484</v>
      </c>
      <c r="L75" s="33">
        <f t="shared" si="14"/>
        <v>325802.3790987107</v>
      </c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</row>
    <row r="76" spans="1:23" ht="12.75">
      <c r="A76" s="33"/>
      <c r="B76" s="33"/>
      <c r="C76" s="33"/>
      <c r="D76" s="33"/>
      <c r="E76" s="33"/>
      <c r="F76" s="33"/>
      <c r="G76" s="33"/>
      <c r="H76" s="33">
        <f t="shared" si="15"/>
        <v>4.714999999999998E-06</v>
      </c>
      <c r="I76" s="33">
        <f t="shared" si="11"/>
        <v>274854.32355568674</v>
      </c>
      <c r="J76" s="33">
        <f t="shared" si="12"/>
        <v>324524.6815818286</v>
      </c>
      <c r="K76" s="33">
        <f t="shared" si="13"/>
        <v>267369.4447234439</v>
      </c>
      <c r="L76" s="33">
        <f t="shared" si="14"/>
        <v>332009.5604140715</v>
      </c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</row>
    <row r="77" spans="1:23" ht="12.75">
      <c r="A77" s="33"/>
      <c r="B77" s="33"/>
      <c r="C77" s="33"/>
      <c r="D77" s="33"/>
      <c r="E77" s="33"/>
      <c r="F77" s="33"/>
      <c r="G77" s="33"/>
      <c r="H77" s="33">
        <f t="shared" si="15"/>
        <v>4.809999999999998E-06</v>
      </c>
      <c r="I77" s="33">
        <f t="shared" si="11"/>
        <v>280806.0334222966</v>
      </c>
      <c r="J77" s="33">
        <f t="shared" si="12"/>
        <v>330703.4731134085</v>
      </c>
      <c r="K77" s="33">
        <f t="shared" si="13"/>
        <v>273286.9354135696</v>
      </c>
      <c r="L77" s="33">
        <f t="shared" si="14"/>
        <v>338222.57112213544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</row>
    <row r="78" spans="1:23" ht="12.75">
      <c r="A78" s="33"/>
      <c r="B78" s="33"/>
      <c r="C78" s="33"/>
      <c r="D78" s="33"/>
      <c r="E78" s="33"/>
      <c r="F78" s="33"/>
      <c r="G78" s="33"/>
      <c r="H78" s="33">
        <f t="shared" si="15"/>
        <v>4.904999999999998E-06</v>
      </c>
      <c r="I78" s="33">
        <f t="shared" si="11"/>
        <v>286753.324771772</v>
      </c>
      <c r="J78" s="33">
        <f t="shared" si="12"/>
        <v>336886.68316212285</v>
      </c>
      <c r="K78" s="33">
        <f t="shared" si="13"/>
        <v>279198.6759245121</v>
      </c>
      <c r="L78" s="33">
        <f t="shared" si="14"/>
        <v>344441.3320093828</v>
      </c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</row>
    <row r="79" spans="1:23" ht="12.75">
      <c r="A79" s="33"/>
      <c r="B79" s="33"/>
      <c r="C79" s="33"/>
      <c r="D79" s="33"/>
      <c r="E79" s="33"/>
      <c r="F79" s="33"/>
      <c r="G79" s="33"/>
      <c r="H79" s="33">
        <f t="shared" si="15"/>
        <v>4.999999999999998E-06</v>
      </c>
      <c r="I79" s="33">
        <f t="shared" si="11"/>
        <v>292696.25967940805</v>
      </c>
      <c r="J79" s="33">
        <f t="shared" si="12"/>
        <v>343074.2496526765</v>
      </c>
      <c r="K79" s="33">
        <f t="shared" si="13"/>
        <v>285104.74703995005</v>
      </c>
      <c r="L79" s="33">
        <f t="shared" si="14"/>
        <v>350665.7622921345</v>
      </c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</row>
    <row r="80" spans="1:22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</row>
    <row r="83" spans="1:22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</row>
    <row r="84" spans="1:6" ht="12.75">
      <c r="A84" s="33"/>
      <c r="B84" s="33"/>
      <c r="C84" s="33"/>
      <c r="D84" s="33"/>
      <c r="E84" s="33"/>
      <c r="F84" s="33"/>
    </row>
    <row r="85" spans="1:6" ht="12.75">
      <c r="A85" s="33"/>
      <c r="B85" s="33"/>
      <c r="C85" s="33"/>
      <c r="D85" s="33"/>
      <c r="E85" s="33"/>
      <c r="F85" s="33"/>
    </row>
  </sheetData>
  <sheetProtection/>
  <mergeCells count="6">
    <mergeCell ref="D53:E53"/>
    <mergeCell ref="F53:G53"/>
    <mergeCell ref="E45:F45"/>
    <mergeCell ref="C45:D45"/>
    <mergeCell ref="C48:D48"/>
    <mergeCell ref="E48:F48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Claus Cornett</cp:lastModifiedBy>
  <cp:lastPrinted>2003-11-17T12:27:55Z</cp:lastPrinted>
  <dcterms:created xsi:type="dcterms:W3CDTF">2001-09-13T14:21:17Z</dcterms:created>
  <dcterms:modified xsi:type="dcterms:W3CDTF">2018-09-12T12:48:29Z</dcterms:modified>
  <cp:category/>
  <cp:version/>
  <cp:contentType/>
  <cp:contentStatus/>
</cp:coreProperties>
</file>